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碟簧设计" sheetId="1" r:id="rId1"/>
    <sheet name="Sheet1" sheetId="2" r:id="rId2"/>
  </sheets>
  <definedNames>
    <definedName name="_xlnm.Print_Area" localSheetId="0">碟簧设计!$C$3:$M$41</definedName>
    <definedName name="Print_Area_1" localSheetId="0">碟簧设计!$C$3:$M$41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<sst xmlns="http://schemas.openxmlformats.org/spreadsheetml/2006/main" count="401" uniqueCount="203">
  <si>
    <t>Jiangsu Sunzo Elastic Technology Co., Ltd.</t>
  </si>
  <si>
    <t>Disc Spring Design Table</t>
  </si>
  <si>
    <t>K1=</t>
  </si>
  <si>
    <t>Single piece size:</t>
  </si>
  <si>
    <t>圆角</t>
  </si>
  <si>
    <t>K=</t>
  </si>
  <si>
    <t>K2=</t>
  </si>
  <si>
    <t>Outer diameter</t>
  </si>
  <si>
    <t>D =</t>
  </si>
  <si>
    <t>mm</t>
  </si>
  <si>
    <t>R=</t>
  </si>
  <si>
    <t>K3=</t>
  </si>
  <si>
    <t>Inner diameter</t>
  </si>
  <si>
    <t>d =</t>
  </si>
  <si>
    <t>承载高度</t>
  </si>
  <si>
    <t>H1=</t>
  </si>
  <si>
    <t>K4=</t>
  </si>
  <si>
    <t>Thickness</t>
  </si>
  <si>
    <t>t =</t>
  </si>
  <si>
    <t>翻边</t>
  </si>
  <si>
    <t>h0/t=</t>
  </si>
  <si>
    <t>C =</t>
  </si>
  <si>
    <t>Thinning thickness</t>
  </si>
  <si>
    <t>t'=</t>
  </si>
  <si>
    <t>支撑面</t>
  </si>
  <si>
    <t>b=</t>
  </si>
  <si>
    <t>C1=</t>
  </si>
  <si>
    <t>Height</t>
  </si>
  <si>
    <r>
      <rPr>
        <sz val="12"/>
        <rFont val="黑体"/>
        <charset val="134"/>
      </rPr>
      <t>H</t>
    </r>
    <r>
      <rPr>
        <b/>
        <vertAlign val="subscript"/>
        <sz val="12"/>
        <rFont val="黑体"/>
        <charset val="134"/>
      </rPr>
      <t xml:space="preserve">0 </t>
    </r>
    <r>
      <rPr>
        <b/>
        <sz val="12"/>
        <rFont val="黑体"/>
        <charset val="134"/>
      </rPr>
      <t>=</t>
    </r>
  </si>
  <si>
    <t>单边增加高度</t>
  </si>
  <si>
    <t>vH=</t>
  </si>
  <si>
    <t>C2=</t>
  </si>
  <si>
    <t>``</t>
  </si>
  <si>
    <t>Compression amount</t>
  </si>
  <si>
    <t>f =</t>
  </si>
  <si>
    <t>碟簧高度</t>
  </si>
  <si>
    <t>H=</t>
  </si>
  <si>
    <t>Inner cone height</t>
  </si>
  <si>
    <r>
      <rPr>
        <sz val="12"/>
        <rFont val="黑体"/>
        <charset val="134"/>
      </rPr>
      <t>h</t>
    </r>
    <r>
      <rPr>
        <b/>
        <vertAlign val="subscript"/>
        <sz val="12"/>
        <rFont val="黑体"/>
        <charset val="134"/>
      </rPr>
      <t xml:space="preserve">0 </t>
    </r>
    <r>
      <rPr>
        <b/>
        <sz val="12"/>
        <rFont val="黑体"/>
        <charset val="134"/>
      </rPr>
      <t>=</t>
    </r>
  </si>
  <si>
    <t>正铉角</t>
  </si>
  <si>
    <t>sina=</t>
  </si>
  <si>
    <t>u</t>
  </si>
  <si>
    <t>·</t>
  </si>
  <si>
    <t>Single piece load:</t>
  </si>
  <si>
    <t>F =</t>
  </si>
  <si>
    <t>N</t>
  </si>
  <si>
    <r>
      <t xml:space="preserve">spring force </t>
    </r>
    <r>
      <rPr>
        <b/>
        <sz val="12"/>
        <rFont val="黑体"/>
        <charset val="134"/>
      </rPr>
      <t xml:space="preserve">
(N)</t>
    </r>
  </si>
  <si>
    <t>stress：</t>
  </si>
  <si>
    <t>Disc spring OM point stress           σOM=</t>
  </si>
  <si>
    <t>σOM=</t>
  </si>
  <si>
    <t>MPa</t>
  </si>
  <si>
    <t>Disc spring I point stress            σI=</t>
  </si>
  <si>
    <t>σⅠ=</t>
  </si>
  <si>
    <t>D/d</t>
  </si>
  <si>
    <t>&gt;1.4</t>
  </si>
  <si>
    <t>`</t>
  </si>
  <si>
    <t>Disc spring II point stress            σII=</t>
  </si>
  <si>
    <t>σⅡ=</t>
  </si>
  <si>
    <t>h0/t</t>
  </si>
  <si>
    <t>&lt;1.4</t>
  </si>
  <si>
    <t>Disc spring III point stress</t>
  </si>
  <si>
    <t>σⅢ=</t>
  </si>
  <si>
    <t>Mpa</t>
  </si>
  <si>
    <t>h0</t>
  </si>
  <si>
    <t>内锥高</t>
  </si>
  <si>
    <t>Disc spring IV point stress            σⅣ=</t>
  </si>
  <si>
    <t>σⅣ=</t>
  </si>
  <si>
    <t>H</t>
  </si>
  <si>
    <t>总高度=h0+t</t>
  </si>
  <si>
    <t>D</t>
  </si>
  <si>
    <t>F</t>
  </si>
  <si>
    <t>Specification:</t>
  </si>
  <si>
    <t>t</t>
  </si>
  <si>
    <t>厚度=h0/1.4</t>
  </si>
  <si>
    <t>Material:</t>
  </si>
  <si>
    <t>50CrV4</t>
  </si>
  <si>
    <t>Elastic modulus:</t>
  </si>
  <si>
    <t xml:space="preserve"> MPa</t>
  </si>
  <si>
    <t>Operating temperature</t>
  </si>
  <si>
    <t>Flatening stress (MPa)</t>
  </si>
  <si>
    <r>
      <rPr>
        <sz val="12"/>
        <color theme="1"/>
        <rFont val="Arial"/>
        <charset val="134"/>
      </rPr>
      <t>Õ</t>
    </r>
    <r>
      <rPr>
        <sz val="9"/>
        <color theme="1"/>
        <rFont val="黑体"/>
        <charset val="134"/>
      </rPr>
      <t>OM≤</t>
    </r>
    <r>
      <rPr>
        <sz val="9"/>
        <color theme="1"/>
        <rFont val="Arial"/>
        <charset val="134"/>
      </rPr>
      <t>1600</t>
    </r>
  </si>
  <si>
    <r>
      <rPr>
        <sz val="12"/>
        <color theme="1"/>
        <rFont val="Arial"/>
        <charset val="134"/>
      </rPr>
      <t>Õ</t>
    </r>
    <r>
      <rPr>
        <vertAlign val="subscript"/>
        <sz val="12"/>
        <color theme="1"/>
        <rFont val="黑体"/>
        <charset val="134"/>
      </rPr>
      <t>I≤3000</t>
    </r>
  </si>
  <si>
    <r>
      <rPr>
        <sz val="12"/>
        <color theme="1"/>
        <rFont val="Arial"/>
        <charset val="134"/>
      </rPr>
      <t>Õ</t>
    </r>
    <r>
      <rPr>
        <sz val="12"/>
        <color theme="1"/>
        <rFont val="黑体"/>
        <charset val="134"/>
      </rPr>
      <t xml:space="preserve"> </t>
    </r>
    <r>
      <rPr>
        <vertAlign val="subscript"/>
        <sz val="12"/>
        <color theme="1"/>
        <rFont val="黑体"/>
        <charset val="134"/>
      </rPr>
      <t>II</t>
    </r>
  </si>
  <si>
    <r>
      <rPr>
        <sz val="12"/>
        <color theme="1"/>
        <rFont val="Arial"/>
        <charset val="134"/>
      </rPr>
      <t>Õ</t>
    </r>
    <r>
      <rPr>
        <sz val="12"/>
        <color theme="1"/>
        <rFont val="黑体"/>
        <charset val="134"/>
      </rPr>
      <t xml:space="preserve"> </t>
    </r>
    <r>
      <rPr>
        <vertAlign val="subscript"/>
        <sz val="12"/>
        <color theme="1"/>
        <rFont val="黑体"/>
        <charset val="134"/>
      </rPr>
      <t>Ⅲ</t>
    </r>
  </si>
  <si>
    <t>deflection mm</t>
  </si>
  <si>
    <t>Disc spring angle at H0:</t>
  </si>
  <si>
    <t>°</t>
  </si>
  <si>
    <t>External diameter during leveling：</t>
  </si>
  <si>
    <t>Inner diameter during leveling：</t>
  </si>
  <si>
    <t>Number of stacked pieces per group</t>
  </si>
  <si>
    <t>片</t>
  </si>
  <si>
    <t>group count</t>
  </si>
  <si>
    <t>group</t>
  </si>
  <si>
    <t>total height</t>
  </si>
  <si>
    <t>Compression ratio</t>
  </si>
  <si>
    <t>Single spring compression mm</t>
  </si>
  <si>
    <t>Group compression mm</t>
  </si>
  <si>
    <t>Support height mm</t>
  </si>
  <si>
    <t>Corresponding load N</t>
  </si>
  <si>
    <t>Corresponding load KN</t>
  </si>
  <si>
    <t>Stiffness N/mm</t>
  </si>
  <si>
    <t>刚   度kN/mm</t>
  </si>
  <si>
    <t>remarks：</t>
  </si>
  <si>
    <r>
      <rPr>
        <sz val="10"/>
        <rFont val="Times New Roman"/>
        <charset val="134"/>
      </rPr>
      <t>0.75</t>
    </r>
    <r>
      <rPr>
        <sz val="10"/>
        <rFont val="宋体"/>
        <charset val="134"/>
      </rPr>
      <t>厚度</t>
    </r>
  </si>
  <si>
    <t>De</t>
  </si>
  <si>
    <t>E</t>
  </si>
  <si>
    <t>mue</t>
  </si>
  <si>
    <t>C1N</t>
  </si>
  <si>
    <t>Di</t>
  </si>
  <si>
    <t>Delta</t>
  </si>
  <si>
    <t>ho/t</t>
  </si>
  <si>
    <t>C1</t>
  </si>
  <si>
    <t>K1</t>
  </si>
  <si>
    <t>K2</t>
  </si>
  <si>
    <t>C2</t>
  </si>
  <si>
    <t>K_eins</t>
  </si>
  <si>
    <t>K3</t>
  </si>
  <si>
    <t>E_20°</t>
  </si>
  <si>
    <t>t'</t>
  </si>
  <si>
    <t>pi</t>
  </si>
  <si>
    <t>4e/(1-mue**2)</t>
  </si>
  <si>
    <t>E_rechn</t>
  </si>
  <si>
    <t>L0</t>
  </si>
  <si>
    <t>Näherung der Blockspannung</t>
  </si>
  <si>
    <t>Reduktion</t>
  </si>
  <si>
    <t>de/di</t>
  </si>
  <si>
    <t>Sigma_1_max</t>
  </si>
  <si>
    <t>Sigma_1_näher</t>
  </si>
  <si>
    <t>Fehler</t>
  </si>
  <si>
    <t>t/t'</t>
  </si>
  <si>
    <t>c1</t>
  </si>
  <si>
    <t>c2</t>
  </si>
  <si>
    <t>eta</t>
  </si>
  <si>
    <t>a0</t>
  </si>
  <si>
    <t>a1</t>
  </si>
  <si>
    <t>x</t>
  </si>
  <si>
    <t>a2</t>
  </si>
  <si>
    <t>x*x</t>
  </si>
  <si>
    <r>
      <rPr>
        <sz val="12"/>
        <rFont val="Times New Roman"/>
        <charset val="134"/>
      </rPr>
      <t>h</t>
    </r>
    <r>
      <rPr>
        <vertAlign val="subscript"/>
        <sz val="12"/>
        <rFont val="Times New Roman"/>
        <charset val="134"/>
      </rPr>
      <t>0</t>
    </r>
    <r>
      <rPr>
        <vertAlign val="superscript"/>
        <sz val="12"/>
        <rFont val="Times New Roman"/>
        <charset val="134"/>
      </rPr>
      <t>'</t>
    </r>
    <r>
      <rPr>
        <sz val="12"/>
        <rFont val="Times New Roman"/>
        <charset val="134"/>
      </rPr>
      <t>=</t>
    </r>
  </si>
  <si>
    <r>
      <rPr>
        <sz val="12"/>
        <rFont val="Times New Roman"/>
        <charset val="134"/>
      </rPr>
      <t>h</t>
    </r>
    <r>
      <rPr>
        <vertAlign val="subscript"/>
        <sz val="12"/>
        <rFont val="Times New Roman"/>
        <charset val="134"/>
      </rPr>
      <t>0</t>
    </r>
    <r>
      <rPr>
        <vertAlign val="superscript"/>
        <sz val="12"/>
        <rFont val="Times New Roman"/>
        <charset val="134"/>
      </rPr>
      <t>'</t>
    </r>
    <r>
      <rPr>
        <sz val="12"/>
        <rFont val="Times New Roman"/>
        <charset val="134"/>
      </rPr>
      <t>/t</t>
    </r>
    <r>
      <rPr>
        <vertAlign val="superscript"/>
        <sz val="12"/>
        <rFont val="Times New Roman"/>
        <charset val="134"/>
      </rPr>
      <t>'</t>
    </r>
    <r>
      <rPr>
        <sz val="12"/>
        <rFont val="Times New Roman"/>
        <charset val="134"/>
      </rPr>
      <t>=</t>
    </r>
  </si>
  <si>
    <t>D/d=</t>
  </si>
  <si>
    <r>
      <rPr>
        <sz val="12"/>
        <rFont val="Times New Roman"/>
        <charset val="134"/>
      </rPr>
      <t>h</t>
    </r>
    <r>
      <rPr>
        <vertAlign val="subscript"/>
        <sz val="12"/>
        <rFont val="Times New Roman"/>
        <charset val="134"/>
      </rPr>
      <t>0</t>
    </r>
    <r>
      <rPr>
        <sz val="12"/>
        <rFont val="Times New Roman"/>
        <charset val="134"/>
      </rPr>
      <t>/t=</t>
    </r>
  </si>
  <si>
    <t>k</t>
  </si>
  <si>
    <t>s_diagr</t>
  </si>
  <si>
    <r>
      <rPr>
        <b/>
        <sz val="12"/>
        <rFont val="Times New Roman"/>
        <charset val="134"/>
      </rPr>
      <t>Toleranzhilfe</t>
    </r>
    <r>
      <rPr>
        <b/>
        <sz val="12"/>
        <rFont val="宋体"/>
        <charset val="134"/>
      </rPr>
      <t>公差</t>
    </r>
  </si>
  <si>
    <r>
      <rPr>
        <sz val="12"/>
        <rFont val="Times New Roman"/>
        <charset val="134"/>
      </rPr>
      <t>Einheitensteuerung</t>
    </r>
    <r>
      <rPr>
        <b/>
        <sz val="12"/>
        <rFont val="宋体"/>
        <charset val="134"/>
      </rPr>
      <t>控制装置</t>
    </r>
  </si>
  <si>
    <t>mm/inch</t>
  </si>
  <si>
    <t>N/lbf</t>
  </si>
  <si>
    <t xml:space="preserve"> mm</t>
  </si>
  <si>
    <t xml:space="preserve"> inch</t>
  </si>
  <si>
    <t xml:space="preserve"> N</t>
  </si>
  <si>
    <t xml:space="preserve"> lbf</t>
  </si>
  <si>
    <t>* 1000 psi</t>
  </si>
  <si>
    <t>MPa/1000psi</t>
  </si>
  <si>
    <t>N/mm</t>
  </si>
  <si>
    <t>lbf/in</t>
  </si>
  <si>
    <t>N/mm/lbf/in</t>
  </si>
  <si>
    <t>* 1E6 psi</t>
  </si>
  <si>
    <t>MPa/1000000psi</t>
  </si>
  <si>
    <t>°C</t>
  </si>
  <si>
    <t>°F</t>
  </si>
  <si>
    <t>Hilfe für Spiel</t>
  </si>
  <si>
    <t>Hilfe für Dicke</t>
  </si>
  <si>
    <t>内径公差：</t>
  </si>
  <si>
    <t xml:space="preserve"> mm      到</t>
  </si>
  <si>
    <t>外径公差：</t>
  </si>
  <si>
    <t>旋转中心：</t>
  </si>
  <si>
    <t>载荷公差：</t>
  </si>
  <si>
    <t>单片尺寸：</t>
  </si>
  <si>
    <t>外径</t>
  </si>
  <si>
    <t>内径</t>
  </si>
  <si>
    <t>厚度</t>
  </si>
  <si>
    <t>减薄厚度</t>
  </si>
  <si>
    <t>高度</t>
  </si>
  <si>
    <t>压缩量</t>
  </si>
  <si>
    <t>单片载荷：</t>
  </si>
  <si>
    <r>
      <rPr>
        <b/>
        <sz val="8"/>
        <rFont val="黑体"/>
        <charset val="134"/>
      </rPr>
      <t xml:space="preserve"> </t>
    </r>
    <r>
      <rPr>
        <b/>
        <sz val="12"/>
        <rFont val="黑体"/>
        <charset val="134"/>
      </rPr>
      <t xml:space="preserve">弹
</t>
    </r>
    <r>
      <rPr>
        <b/>
        <sz val="8"/>
        <rFont val="黑体"/>
        <charset val="134"/>
      </rPr>
      <t xml:space="preserve"> </t>
    </r>
    <r>
      <rPr>
        <b/>
        <sz val="12"/>
        <rFont val="黑体"/>
        <charset val="134"/>
      </rPr>
      <t xml:space="preserve">簧
</t>
    </r>
    <r>
      <rPr>
        <b/>
        <sz val="8"/>
        <rFont val="黑体"/>
        <charset val="134"/>
      </rPr>
      <t xml:space="preserve"> </t>
    </r>
    <r>
      <rPr>
        <b/>
        <sz val="12"/>
        <rFont val="黑体"/>
        <charset val="134"/>
      </rPr>
      <t>力
(N)</t>
    </r>
  </si>
  <si>
    <r>
      <rPr>
        <sz val="11"/>
        <rFont val="黑体"/>
        <charset val="134"/>
      </rPr>
      <t xml:space="preserve">碟簧OM点应力          </t>
    </r>
    <r>
      <rPr>
        <b/>
        <sz val="11"/>
        <rFont val="黑体"/>
        <charset val="134"/>
      </rPr>
      <t xml:space="preserve"> σOM=</t>
    </r>
  </si>
  <si>
    <r>
      <rPr>
        <sz val="11"/>
        <rFont val="黑体"/>
        <charset val="134"/>
      </rPr>
      <t xml:space="preserve">碟簧Ⅰ点应力            </t>
    </r>
    <r>
      <rPr>
        <b/>
        <sz val="11"/>
        <rFont val="黑体"/>
        <charset val="134"/>
      </rPr>
      <t>σⅠ=</t>
    </r>
  </si>
  <si>
    <r>
      <rPr>
        <sz val="11"/>
        <rFont val="黑体"/>
        <charset val="134"/>
      </rPr>
      <t xml:space="preserve">碟簧Ⅱ点应力            </t>
    </r>
    <r>
      <rPr>
        <b/>
        <sz val="11"/>
        <rFont val="黑体"/>
        <charset val="134"/>
      </rPr>
      <t>σⅡ=</t>
    </r>
  </si>
  <si>
    <t>碟簧Ⅲ点应力</t>
  </si>
  <si>
    <r>
      <rPr>
        <sz val="11"/>
        <rFont val="黑体"/>
        <charset val="134"/>
      </rPr>
      <t xml:space="preserve">碟簧Ⅳ点应力            </t>
    </r>
    <r>
      <rPr>
        <b/>
        <sz val="11"/>
        <rFont val="黑体"/>
        <charset val="134"/>
      </rPr>
      <t>σⅣ</t>
    </r>
    <r>
      <rPr>
        <sz val="11"/>
        <rFont val="黑体"/>
        <charset val="134"/>
      </rPr>
      <t>=</t>
    </r>
  </si>
  <si>
    <t>规格：</t>
  </si>
  <si>
    <t>材料：</t>
  </si>
  <si>
    <t>弹性模量：</t>
  </si>
  <si>
    <t>使用温度</t>
  </si>
  <si>
    <t>压平应力(MPa)</t>
  </si>
  <si>
    <t>变 形 量 mm</t>
  </si>
  <si>
    <t>H0时碟簧角度：</t>
  </si>
  <si>
    <t>压平时外径：</t>
  </si>
  <si>
    <t>压平时内径：</t>
  </si>
  <si>
    <t>每组叠合数量</t>
  </si>
  <si>
    <t>组数</t>
  </si>
  <si>
    <t>组</t>
  </si>
  <si>
    <t>总高度</t>
  </si>
  <si>
    <t>压缩比例</t>
  </si>
  <si>
    <t>单片压缩量mm</t>
  </si>
  <si>
    <t>成组压缩量mm</t>
  </si>
  <si>
    <t>承载高度  mm</t>
  </si>
  <si>
    <t>对应负荷  N</t>
  </si>
  <si>
    <t>对应负荷  KN</t>
  </si>
  <si>
    <t>刚度N/mm</t>
  </si>
  <si>
    <t>备注：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</si>
</sst>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_ "/>
    <numFmt numFmtId="178" formatCode="0.000"/>
    <numFmt numFmtId="179" formatCode="0.0_ "/>
    <numFmt numFmtId="180" formatCode="0.00_ "/>
    <numFmt numFmtId="181" formatCode="0_ "/>
    <numFmt numFmtId="182" formatCode="0.00_);[Red]\(0.00\)"/>
    <numFmt numFmtId="183" formatCode="0.000000_ "/>
    <numFmt numFmtId="184" formatCode="0_);[Red]\(0\)"/>
    <numFmt numFmtId="185" formatCode="0.0%"/>
    <numFmt numFmtId="186" formatCode="0.0000"/>
    <numFmt numFmtId="187" formatCode="0.0000000"/>
    <numFmt numFmtId="188" formatCode="0.00000"/>
  </numFmts>
  <fonts count="67">
    <font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sz val="10"/>
      <name val="黑体"/>
      <charset val="134"/>
    </font>
    <font>
      <b/>
      <sz val="18"/>
      <name val="黑体"/>
      <charset val="134"/>
    </font>
    <font>
      <b/>
      <sz val="17"/>
      <name val="黑体"/>
      <charset val="134"/>
    </font>
    <font>
      <sz val="14"/>
      <name val="Times New Roman"/>
      <charset val="134"/>
    </font>
    <font>
      <b/>
      <sz val="12"/>
      <name val="黑体"/>
      <charset val="134"/>
    </font>
    <font>
      <b/>
      <sz val="10"/>
      <name val="黑体"/>
      <charset val="134"/>
    </font>
    <font>
      <sz val="12"/>
      <name val="黑体"/>
      <charset val="134"/>
    </font>
    <font>
      <sz val="10"/>
      <name val="Arial"/>
      <charset val="134"/>
    </font>
    <font>
      <sz val="12"/>
      <color theme="1"/>
      <name val="Times New Roman"/>
      <charset val="134"/>
    </font>
    <font>
      <b/>
      <sz val="14"/>
      <color theme="1"/>
      <name val="等线"/>
      <charset val="134"/>
      <scheme val="minor"/>
    </font>
    <font>
      <sz val="10"/>
      <name val="宋体"/>
      <charset val="134"/>
    </font>
    <font>
      <sz val="14"/>
      <color rgb="FFFF0000"/>
      <name val="Times New Roman"/>
      <charset val="134"/>
    </font>
    <font>
      <b/>
      <sz val="11"/>
      <color theme="8"/>
      <name val="等线"/>
      <charset val="134"/>
      <scheme val="minor"/>
    </font>
    <font>
      <b/>
      <sz val="10"/>
      <name val="Times New Roman"/>
      <charset val="134"/>
    </font>
    <font>
      <sz val="18"/>
      <name val="Times New Roman"/>
      <charset val="134"/>
    </font>
    <font>
      <b/>
      <sz val="14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黑体"/>
      <charset val="134"/>
    </font>
    <font>
      <sz val="9"/>
      <color theme="1"/>
      <name val="Times New Roman"/>
      <charset val="134"/>
    </font>
    <font>
      <b/>
      <sz val="14"/>
      <name val="Times New Roman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b/>
      <sz val="1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2"/>
      <color rgb="FFFF0000"/>
      <name val="黑体"/>
      <charset val="134"/>
    </font>
    <font>
      <sz val="12"/>
      <color theme="1"/>
      <name val="Arial"/>
      <charset val="134"/>
    </font>
    <font>
      <sz val="14"/>
      <name val="黑体"/>
      <charset val="134"/>
    </font>
    <font>
      <sz val="12"/>
      <color theme="2" tint="-0.9"/>
      <name val="黑体"/>
      <charset val="134"/>
    </font>
    <font>
      <b/>
      <sz val="14"/>
      <name val="黑体"/>
      <charset val="134"/>
    </font>
    <font>
      <b/>
      <sz val="12"/>
      <name val="Times New Roman"/>
      <charset val="134"/>
    </font>
    <font>
      <sz val="10"/>
      <color indexed="8"/>
      <name val="Times New Roman"/>
      <charset val="134"/>
    </font>
    <font>
      <b/>
      <sz val="10"/>
      <name val="Arial"/>
      <charset val="134"/>
    </font>
    <font>
      <sz val="10"/>
      <color indexed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vertAlign val="subscript"/>
      <sz val="12"/>
      <name val="黑体"/>
      <charset val="134"/>
    </font>
    <font>
      <b/>
      <sz val="12"/>
      <name val="宋体"/>
      <charset val="134"/>
    </font>
    <font>
      <vertAlign val="subscript"/>
      <sz val="12"/>
      <name val="Times New Roman"/>
      <charset val="134"/>
    </font>
    <font>
      <vertAlign val="subscript"/>
      <sz val="12"/>
      <color theme="1"/>
      <name val="黑体"/>
      <charset val="134"/>
    </font>
    <font>
      <sz val="9"/>
      <color theme="1"/>
      <name val="黑体"/>
      <charset val="134"/>
    </font>
    <font>
      <sz val="9"/>
      <color theme="1"/>
      <name val="Arial"/>
      <charset val="134"/>
    </font>
    <font>
      <vertAlign val="superscript"/>
      <sz val="12"/>
      <name val="Times New Roman"/>
      <charset val="134"/>
    </font>
    <font>
      <b/>
      <sz val="8"/>
      <name val="黑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11" borderId="45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46" applyNumberFormat="0" applyFill="0" applyAlignment="0" applyProtection="0">
      <alignment vertical="center"/>
    </xf>
    <xf numFmtId="0" fontId="46" fillId="0" borderId="46" applyNumberFormat="0" applyFill="0" applyAlignment="0" applyProtection="0">
      <alignment vertical="center"/>
    </xf>
    <xf numFmtId="0" fontId="47" fillId="0" borderId="4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12" borderId="48" applyNumberFormat="0" applyAlignment="0" applyProtection="0">
      <alignment vertical="center"/>
    </xf>
    <xf numFmtId="0" fontId="49" fillId="13" borderId="49" applyNumberFormat="0" applyAlignment="0" applyProtection="0">
      <alignment vertical="center"/>
    </xf>
    <xf numFmtId="0" fontId="50" fillId="13" borderId="48" applyNumberFormat="0" applyAlignment="0" applyProtection="0">
      <alignment vertical="center"/>
    </xf>
    <xf numFmtId="0" fontId="51" fillId="14" borderId="50" applyNumberFormat="0" applyAlignment="0" applyProtection="0">
      <alignment vertical="center"/>
    </xf>
    <xf numFmtId="0" fontId="52" fillId="0" borderId="51" applyNumberFormat="0" applyFill="0" applyAlignment="0" applyProtection="0">
      <alignment vertical="center"/>
    </xf>
    <xf numFmtId="0" fontId="53" fillId="0" borderId="52" applyNumberFormat="0" applyFill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57" fillId="37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7" fillId="40" borderId="0" applyNumberFormat="0" applyBorder="0" applyAlignment="0" applyProtection="0">
      <alignment vertical="center"/>
    </xf>
  </cellStyleXfs>
  <cellXfs count="44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NumberFormat="1" applyFont="1" applyFill="1" applyBorder="1" applyAlignment="1" applyProtection="1">
      <protection hidden="1"/>
    </xf>
    <xf numFmtId="0" fontId="5" fillId="0" borderId="0" xfId="0" applyNumberFormat="1" applyFont="1" applyFill="1" applyBorder="1" applyAlignment="1" applyProtection="1">
      <alignment horizontal="center" vertical="center"/>
      <protection hidden="1"/>
    </xf>
    <xf numFmtId="0" fontId="6" fillId="2" borderId="1" xfId="0" applyNumberFormat="1" applyFont="1" applyFill="1" applyBorder="1" applyAlignment="1" applyProtection="1">
      <protection hidden="1"/>
    </xf>
    <xf numFmtId="0" fontId="6" fillId="2" borderId="2" xfId="0" applyNumberFormat="1" applyFont="1" applyFill="1" applyBorder="1" applyAlignment="1" applyProtection="1">
      <protection hidden="1"/>
    </xf>
    <xf numFmtId="0" fontId="6" fillId="2" borderId="2" xfId="0" applyNumberFormat="1" applyFont="1" applyFill="1" applyBorder="1" applyAlignment="1" applyProtection="1">
      <protection hidden="1"/>
    </xf>
    <xf numFmtId="0" fontId="7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7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7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5" xfId="0" applyNumberFormat="1" applyFont="1" applyFill="1" applyBorder="1" applyAlignment="1" applyProtection="1">
      <protection hidden="1"/>
    </xf>
    <xf numFmtId="0" fontId="6" fillId="2" borderId="0" xfId="0" applyNumberFormat="1" applyFont="1" applyFill="1" applyBorder="1" applyAlignment="1" applyProtection="1">
      <protection hidden="1"/>
    </xf>
    <xf numFmtId="0" fontId="6" fillId="2" borderId="0" xfId="0" applyNumberFormat="1" applyFont="1" applyFill="1" applyBorder="1" applyAlignment="1" applyProtection="1">
      <protection hidden="1"/>
    </xf>
    <xf numFmtId="0" fontId="7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7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6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8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9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0" xfId="0" applyNumberFormat="1" applyFont="1" applyFill="1" applyBorder="1" applyAlignment="1" applyProtection="1">
      <alignment horizontal="center" vertical="center"/>
      <protection hidden="1"/>
    </xf>
    <xf numFmtId="176" fontId="9" fillId="0" borderId="10" xfId="0" applyNumberFormat="1" applyFont="1" applyFill="1" applyBorder="1" applyAlignment="1" applyProtection="1">
      <alignment horizontal="center" vertical="center"/>
      <protection hidden="1"/>
    </xf>
    <xf numFmtId="0" fontId="10" fillId="2" borderId="10" xfId="0" applyNumberFormat="1" applyFont="1" applyFill="1" applyBorder="1" applyAlignment="1" applyProtection="1">
      <protection hidden="1"/>
    </xf>
    <xf numFmtId="0" fontId="6" fillId="2" borderId="10" xfId="0" applyNumberFormat="1" applyFont="1" applyFill="1" applyBorder="1" applyAlignment="1" applyProtection="1">
      <protection hidden="1"/>
    </xf>
    <xf numFmtId="0" fontId="11" fillId="2" borderId="10" xfId="0" applyNumberFormat="1" applyFont="1" applyFill="1" applyBorder="1" applyAlignment="1" applyProtection="1">
      <alignment horizontal="center" vertical="center"/>
      <protection hidden="1"/>
    </xf>
    <xf numFmtId="0" fontId="12" fillId="2" borderId="0" xfId="0" applyNumberFormat="1" applyFont="1" applyFill="1" applyBorder="1" applyAlignment="1" applyProtection="1">
      <alignment horizontal="centerContinuous"/>
      <protection hidden="1"/>
    </xf>
    <xf numFmtId="0" fontId="6" fillId="2" borderId="0" xfId="0" applyNumberFormat="1" applyFont="1" applyFill="1" applyBorder="1" applyAlignment="1" applyProtection="1">
      <alignment horizontal="centerContinuous"/>
      <protection hidden="1"/>
    </xf>
    <xf numFmtId="0" fontId="6" fillId="2" borderId="7" xfId="0" applyNumberFormat="1" applyFont="1" applyFill="1" applyBorder="1" applyAlignment="1" applyProtection="1">
      <protection hidden="1"/>
    </xf>
    <xf numFmtId="0" fontId="0" fillId="3" borderId="1" xfId="0" applyFill="1" applyBorder="1" applyAlignment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/>
    </xf>
    <xf numFmtId="177" fontId="14" fillId="4" borderId="4" xfId="0" applyNumberFormat="1" applyFont="1" applyFill="1" applyBorder="1" applyAlignment="1" applyProtection="1">
      <alignment horizontal="center" vertical="center"/>
      <protection hidden="1"/>
    </xf>
    <xf numFmtId="2" fontId="12" fillId="2" borderId="0" xfId="0" applyNumberFormat="1" applyFont="1" applyFill="1" applyBorder="1" applyAlignment="1" applyProtection="1">
      <alignment horizontal="center" vertical="center"/>
      <protection locked="0"/>
    </xf>
    <xf numFmtId="0" fontId="12" fillId="2" borderId="10" xfId="0" applyNumberFormat="1" applyFont="1" applyFill="1" applyBorder="1" applyAlignment="1" applyProtection="1">
      <protection hidden="1"/>
    </xf>
    <xf numFmtId="0" fontId="10" fillId="2" borderId="10" xfId="0" applyNumberFormat="1" applyFont="1" applyFill="1" applyBorder="1" applyAlignment="1" applyProtection="1">
      <alignment horizontal="right"/>
      <protection hidden="1"/>
    </xf>
    <xf numFmtId="2" fontId="12" fillId="2" borderId="10" xfId="0" applyNumberFormat="1" applyFont="1" applyFill="1" applyBorder="1" applyAlignment="1" applyProtection="1">
      <alignment horizontal="center" vertical="center"/>
      <protection locked="0"/>
    </xf>
    <xf numFmtId="178" fontId="12" fillId="2" borderId="10" xfId="0" applyNumberFormat="1" applyFont="1" applyFill="1" applyBorder="1" applyAlignment="1" applyProtection="1">
      <protection hidden="1"/>
    </xf>
    <xf numFmtId="0" fontId="0" fillId="3" borderId="5" xfId="0" applyFill="1" applyBorder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177" fontId="9" fillId="4" borderId="7" xfId="0" applyNumberFormat="1" applyFont="1" applyFill="1" applyBorder="1" applyAlignment="1" applyProtection="1">
      <alignment horizontal="center" vertical="center"/>
      <protection hidden="1"/>
    </xf>
    <xf numFmtId="179" fontId="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>
      <alignment horizontal="center" vertical="center"/>
    </xf>
    <xf numFmtId="0" fontId="16" fillId="3" borderId="5" xfId="0" applyNumberFormat="1" applyFont="1" applyFill="1" applyBorder="1" applyAlignment="1" applyProtection="1">
      <alignment horizontal="center" vertical="center"/>
      <protection hidden="1"/>
    </xf>
    <xf numFmtId="177" fontId="17" fillId="4" borderId="7" xfId="0" applyNumberFormat="1" applyFont="1" applyFill="1" applyBorder="1" applyAlignment="1" applyProtection="1">
      <alignment horizontal="center" vertical="center"/>
      <protection hidden="1"/>
    </xf>
    <xf numFmtId="180" fontId="0" fillId="0" borderId="0" xfId="0" applyNumberFormat="1" applyAlignment="1">
      <alignment horizontal="center" vertical="center"/>
    </xf>
    <xf numFmtId="0" fontId="16" fillId="3" borderId="1" xfId="0" applyNumberFormat="1" applyFont="1" applyFill="1" applyBorder="1" applyAlignment="1" applyProtection="1">
      <alignment horizontal="center" vertical="center"/>
      <protection hidden="1"/>
    </xf>
    <xf numFmtId="0" fontId="5" fillId="5" borderId="2" xfId="0" applyNumberFormat="1" applyFont="1" applyFill="1" applyBorder="1" applyAlignment="1" applyProtection="1">
      <alignment horizontal="center" vertical="center"/>
      <protection hidden="1"/>
    </xf>
    <xf numFmtId="176" fontId="18" fillId="5" borderId="4" xfId="0" applyNumberFormat="1" applyFont="1" applyFill="1" applyBorder="1" applyAlignment="1">
      <alignment horizontal="center" vertical="center"/>
    </xf>
    <xf numFmtId="0" fontId="12" fillId="2" borderId="10" xfId="0" applyNumberFormat="1" applyFont="1" applyFill="1" applyBorder="1" applyAlignment="1" applyProtection="1">
      <alignment horizontal="right"/>
      <protection hidden="1"/>
    </xf>
    <xf numFmtId="0" fontId="19" fillId="5" borderId="0" xfId="0" applyNumberFormat="1" applyFont="1" applyFill="1" applyBorder="1" applyAlignment="1" applyProtection="1">
      <alignment horizontal="center" vertical="center"/>
      <protection hidden="1"/>
    </xf>
    <xf numFmtId="177" fontId="0" fillId="5" borderId="7" xfId="0" applyNumberFormat="1" applyFill="1" applyBorder="1" applyAlignment="1">
      <alignment horizontal="center" vertical="center"/>
    </xf>
    <xf numFmtId="178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178" fontId="12" fillId="2" borderId="10" xfId="0" applyNumberFormat="1" applyFont="1" applyFill="1" applyBorder="1" applyAlignment="1" applyProtection="1">
      <alignment horizontal="center" vertical="center"/>
      <protection locked="0" hidden="1"/>
    </xf>
    <xf numFmtId="177" fontId="1" fillId="5" borderId="7" xfId="0" applyNumberFormat="1" applyFont="1" applyFill="1" applyBorder="1" applyAlignment="1">
      <alignment horizontal="center" vertical="center"/>
    </xf>
    <xf numFmtId="178" fontId="12" fillId="6" borderId="10" xfId="0" applyNumberFormat="1" applyFont="1" applyFill="1" applyBorder="1" applyAlignment="1" applyProtection="1">
      <alignment horizontal="center"/>
    </xf>
    <xf numFmtId="0" fontId="5" fillId="5" borderId="0" xfId="0" applyNumberFormat="1" applyFont="1" applyFill="1" applyBorder="1" applyAlignment="1" applyProtection="1">
      <alignment horizontal="center" vertical="center"/>
      <protection hidden="1"/>
    </xf>
    <xf numFmtId="177" fontId="4" fillId="5" borderId="7" xfId="0" applyNumberFormat="1" applyFont="1" applyFill="1" applyBorder="1" applyAlignment="1" applyProtection="1">
      <alignment horizontal="center" vertical="center"/>
      <protection hidden="1"/>
    </xf>
    <xf numFmtId="0" fontId="20" fillId="0" borderId="11" xfId="0" applyNumberFormat="1" applyFont="1" applyFill="1" applyBorder="1" applyAlignment="1" applyProtection="1">
      <alignment horizontal="center" vertical="center"/>
      <protection hidden="1"/>
    </xf>
    <xf numFmtId="0" fontId="9" fillId="0" borderId="11" xfId="0" applyNumberFormat="1" applyFont="1" applyFill="1" applyBorder="1" applyAlignment="1" applyProtection="1">
      <alignment horizontal="center" vertical="center"/>
      <protection hidden="1"/>
    </xf>
    <xf numFmtId="0" fontId="10" fillId="2" borderId="10" xfId="0" applyNumberFormat="1" applyFont="1" applyFill="1" applyBorder="1" applyAlignment="1" applyProtection="1">
      <alignment horizontal="left" vertical="center"/>
      <protection hidden="1"/>
    </xf>
    <xf numFmtId="0" fontId="10" fillId="2" borderId="10" xfId="0" applyNumberFormat="1" applyFont="1" applyFill="1" applyBorder="1" applyAlignment="1" applyProtection="1">
      <alignment horizontal="right" vertical="center"/>
      <protection hidden="1"/>
    </xf>
    <xf numFmtId="181" fontId="10" fillId="6" borderId="10" xfId="0" applyNumberFormat="1" applyFont="1" applyFill="1" applyBorder="1" applyAlignment="1" applyProtection="1">
      <alignment horizontal="center" vertical="center"/>
      <protection hidden="1"/>
    </xf>
    <xf numFmtId="178" fontId="12" fillId="2" borderId="10" xfId="0" applyNumberFormat="1" applyFont="1" applyFill="1" applyBorder="1" applyAlignment="1" applyProtection="1">
      <alignment horizontal="left" vertical="center"/>
      <protection hidden="1"/>
    </xf>
    <xf numFmtId="0" fontId="10" fillId="2" borderId="2" xfId="0" applyNumberFormat="1" applyFont="1" applyFill="1" applyBorder="1" applyAlignment="1" applyProtection="1">
      <alignment horizontal="left" vertical="center" wrapText="1"/>
      <protection hidden="1"/>
    </xf>
    <xf numFmtId="0" fontId="6" fillId="2" borderId="4" xfId="0" applyNumberFormat="1" applyFont="1" applyFill="1" applyBorder="1" applyAlignment="1" applyProtection="1">
      <protection hidden="1"/>
    </xf>
    <xf numFmtId="0" fontId="6" fillId="2" borderId="0" xfId="0" applyNumberFormat="1" applyFont="1" applyFill="1" applyAlignment="1" applyProtection="1">
      <protection hidden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2" borderId="5" xfId="0" applyNumberFormat="1" applyFont="1" applyFill="1" applyBorder="1" applyAlignment="1" applyProtection="1">
      <protection hidden="1"/>
    </xf>
    <xf numFmtId="0" fontId="10" fillId="2" borderId="0" xfId="0" applyNumberFormat="1" applyFont="1" applyFill="1" applyBorder="1" applyAlignment="1" applyProtection="1">
      <protection hidden="1"/>
    </xf>
    <xf numFmtId="0" fontId="10" fillId="2" borderId="0" xfId="0" applyNumberFormat="1" applyFont="1" applyFill="1" applyBorder="1" applyAlignment="1" applyProtection="1">
      <protection hidden="1"/>
    </xf>
    <xf numFmtId="0" fontId="12" fillId="2" borderId="0" xfId="0" applyNumberFormat="1" applyFont="1" applyFill="1" applyBorder="1" applyAlignment="1" applyProtection="1">
      <alignment horizontal="right"/>
      <protection hidden="1"/>
    </xf>
    <xf numFmtId="181" fontId="23" fillId="2" borderId="0" xfId="0" applyNumberFormat="1" applyFont="1" applyFill="1" applyBorder="1" applyAlignment="1" applyProtection="1">
      <alignment horizontal="center" vertical="center"/>
      <protection hidden="1"/>
    </xf>
    <xf numFmtId="178" fontId="12" fillId="2" borderId="0" xfId="0" applyNumberFormat="1" applyFont="1" applyFill="1" applyBorder="1" applyAlignment="1" applyProtection="1">
      <protection hidden="1"/>
    </xf>
    <xf numFmtId="0" fontId="12" fillId="2" borderId="5" xfId="0" applyNumberFormat="1" applyFont="1" applyFill="1" applyBorder="1" applyAlignment="1" applyProtection="1">
      <alignment horizontal="left" vertical="center" wrapText="1"/>
      <protection hidden="1"/>
    </xf>
    <xf numFmtId="0" fontId="24" fillId="0" borderId="0" xfId="0" applyFont="1" applyAlignment="1">
      <alignment horizontal="justify"/>
    </xf>
    <xf numFmtId="0" fontId="25" fillId="0" borderId="0" xfId="0" applyNumberFormat="1" applyFont="1" applyFill="1" applyBorder="1" applyAlignment="1" applyProtection="1">
      <alignment horizontal="center" vertical="center"/>
      <protection hidden="1"/>
    </xf>
    <xf numFmtId="177" fontId="21" fillId="7" borderId="0" xfId="0" applyNumberFormat="1" applyFont="1" applyFill="1" applyBorder="1" applyAlignment="1">
      <alignment horizontal="center" vertical="center"/>
    </xf>
    <xf numFmtId="182" fontId="15" fillId="0" borderId="0" xfId="0" applyNumberFormat="1" applyFont="1" applyAlignment="1">
      <alignment horizontal="center" vertical="center"/>
    </xf>
    <xf numFmtId="0" fontId="26" fillId="2" borderId="10" xfId="0" applyNumberFormat="1" applyFont="1" applyFill="1" applyBorder="1" applyAlignment="1" applyProtection="1">
      <alignment horizontal="left"/>
    </xf>
    <xf numFmtId="181" fontId="27" fillId="2" borderId="10" xfId="0" applyNumberFormat="1" applyFont="1" applyFill="1" applyBorder="1" applyAlignment="1" applyProtection="1">
      <alignment horizontal="center"/>
      <protection hidden="1"/>
    </xf>
    <xf numFmtId="0" fontId="26" fillId="2" borderId="10" xfId="0" applyNumberFormat="1" applyFont="1" applyFill="1" applyBorder="1" applyAlignment="1" applyProtection="1">
      <alignment horizontal="left"/>
      <protection hidden="1"/>
    </xf>
    <xf numFmtId="0" fontId="12" fillId="2" borderId="0" xfId="0" applyNumberFormat="1" applyFont="1" applyFill="1" applyBorder="1" applyAlignment="1" applyProtection="1">
      <alignment horizontal="left" vertical="center" wrapText="1"/>
      <protection hidden="1"/>
    </xf>
    <xf numFmtId="183" fontId="15" fillId="0" borderId="0" xfId="0" applyNumberFormat="1" applyFont="1" applyBorder="1" applyAlignment="1">
      <alignment horizontal="center" vertical="center"/>
    </xf>
    <xf numFmtId="181" fontId="15" fillId="0" borderId="0" xfId="0" applyNumberFormat="1" applyFont="1" applyBorder="1" applyAlignment="1">
      <alignment horizontal="center" vertical="center"/>
    </xf>
    <xf numFmtId="180" fontId="2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8" fillId="2" borderId="10" xfId="0" applyNumberFormat="1" applyFont="1" applyFill="1" applyBorder="1" applyAlignment="1" applyProtection="1">
      <alignment horizontal="center"/>
    </xf>
    <xf numFmtId="0" fontId="3" fillId="0" borderId="0" xfId="0" applyFont="1" applyBorder="1" applyAlignment="1"/>
    <xf numFmtId="0" fontId="3" fillId="0" borderId="1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0" fillId="2" borderId="5" xfId="0" applyNumberFormat="1" applyFont="1" applyFill="1" applyBorder="1" applyAlignment="1" applyProtection="1">
      <alignment vertical="center"/>
      <protection hidden="1"/>
    </xf>
    <xf numFmtId="0" fontId="10" fillId="2" borderId="0" xfId="0" applyNumberFormat="1" applyFont="1" applyFill="1" applyBorder="1" applyAlignment="1" applyProtection="1">
      <alignment vertical="center"/>
      <protection hidden="1"/>
    </xf>
    <xf numFmtId="0" fontId="10" fillId="2" borderId="0" xfId="0" applyNumberFormat="1" applyFont="1" applyFill="1" applyBorder="1" applyAlignment="1" applyProtection="1">
      <alignment vertical="center"/>
      <protection hidden="1"/>
    </xf>
    <xf numFmtId="178" fontId="12" fillId="2" borderId="0" xfId="0" applyNumberFormat="1" applyFont="1" applyFill="1" applyBorder="1" applyAlignment="1" applyProtection="1">
      <alignment horizontal="right"/>
      <protection hidden="1"/>
    </xf>
    <xf numFmtId="0" fontId="12" fillId="2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11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2" borderId="5" xfId="0" applyNumberFormat="1" applyFont="1" applyFill="1" applyBorder="1" applyAlignment="1" applyProtection="1">
      <alignment horizontal="left"/>
      <protection hidden="1"/>
    </xf>
    <xf numFmtId="0" fontId="12" fillId="2" borderId="0" xfId="0" applyNumberFormat="1" applyFont="1" applyFill="1" applyBorder="1" applyAlignment="1" applyProtection="1">
      <alignment horizontal="left"/>
      <protection hidden="1"/>
    </xf>
    <xf numFmtId="0" fontId="12" fillId="2" borderId="0" xfId="0" applyNumberFormat="1" applyFont="1" applyFill="1" applyBorder="1" applyAlignment="1" applyProtection="1">
      <alignment horizontal="left"/>
      <protection hidden="1"/>
    </xf>
    <xf numFmtId="58" fontId="31" fillId="2" borderId="10" xfId="0" applyNumberFormat="1" applyFont="1" applyFill="1" applyBorder="1" applyAlignment="1" applyProtection="1">
      <alignment horizontal="center"/>
      <protection locked="0" hidden="1"/>
    </xf>
    <xf numFmtId="0" fontId="21" fillId="0" borderId="0" xfId="0" applyFont="1" applyBorder="1" applyAlignment="1">
      <alignment vertical="center"/>
    </xf>
    <xf numFmtId="0" fontId="12" fillId="2" borderId="5" xfId="0" applyNumberFormat="1" applyFont="1" applyFill="1" applyBorder="1" applyAlignment="1" applyProtection="1">
      <protection hidden="1"/>
    </xf>
    <xf numFmtId="0" fontId="12" fillId="2" borderId="0" xfId="0" applyNumberFormat="1" applyFont="1" applyFill="1" applyBorder="1" applyAlignment="1" applyProtection="1">
      <protection hidden="1"/>
    </xf>
    <xf numFmtId="0" fontId="12" fillId="2" borderId="0" xfId="0" applyNumberFormat="1" applyFont="1" applyFill="1" applyBorder="1" applyAlignment="1" applyProtection="1">
      <protection hidden="1"/>
    </xf>
    <xf numFmtId="1" fontId="12" fillId="2" borderId="12" xfId="0" applyNumberFormat="1" applyFont="1" applyFill="1" applyBorder="1" applyAlignment="1" applyProtection="1">
      <alignment horizontal="center"/>
      <protection hidden="1"/>
    </xf>
    <xf numFmtId="1" fontId="12" fillId="2" borderId="13" xfId="0" applyNumberFormat="1" applyFont="1" applyFill="1" applyBorder="1" applyAlignment="1" applyProtection="1">
      <alignment horizontal="center"/>
      <protection hidden="1"/>
    </xf>
    <xf numFmtId="0" fontId="26" fillId="2" borderId="0" xfId="0" applyNumberFormat="1" applyFont="1" applyFill="1" applyBorder="1" applyAlignment="1" applyProtection="1">
      <alignment horizontal="left"/>
      <protection hidden="1"/>
    </xf>
    <xf numFmtId="0" fontId="29" fillId="0" borderId="0" xfId="0" applyFont="1"/>
    <xf numFmtId="0" fontId="12" fillId="2" borderId="14" xfId="0" applyNumberFormat="1" applyFont="1" applyFill="1" applyBorder="1" applyAlignment="1" applyProtection="1">
      <alignment horizontal="left"/>
      <protection hidden="1"/>
    </xf>
    <xf numFmtId="0" fontId="12" fillId="2" borderId="8" xfId="0" applyNumberFormat="1" applyFont="1" applyFill="1" applyBorder="1" applyAlignment="1" applyProtection="1">
      <alignment horizontal="left"/>
      <protection hidden="1"/>
    </xf>
    <xf numFmtId="0" fontId="12" fillId="2" borderId="8" xfId="0" applyNumberFormat="1" applyFont="1" applyFill="1" applyBorder="1" applyAlignment="1" applyProtection="1">
      <alignment horizontal="left"/>
      <protection hidden="1"/>
    </xf>
    <xf numFmtId="0" fontId="12" fillId="2" borderId="15" xfId="0" applyNumberFormat="1" applyFont="1" applyFill="1" applyBorder="1" applyAlignment="1" applyProtection="1">
      <alignment horizontal="center"/>
      <protection locked="0"/>
    </xf>
    <xf numFmtId="0" fontId="12" fillId="2" borderId="1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0" fontId="30" fillId="2" borderId="1" xfId="0" applyNumberFormat="1" applyFont="1" applyFill="1" applyBorder="1" applyAlignment="1" applyProtection="1">
      <alignment horizontal="center" vertical="center"/>
      <protection hidden="1"/>
    </xf>
    <xf numFmtId="0" fontId="30" fillId="2" borderId="2" xfId="0" applyNumberFormat="1" applyFont="1" applyFill="1" applyBorder="1" applyAlignment="1" applyProtection="1">
      <alignment horizontal="center" vertical="center"/>
      <protection hidden="1"/>
    </xf>
    <xf numFmtId="0" fontId="30" fillId="2" borderId="2" xfId="0" applyNumberFormat="1" applyFont="1" applyFill="1" applyBorder="1" applyAlignment="1" applyProtection="1">
      <alignment horizontal="center" vertical="center"/>
      <protection hidden="1"/>
    </xf>
    <xf numFmtId="0" fontId="30" fillId="2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10" xfId="0" applyFont="1" applyBorder="1" applyAlignment="1">
      <alignment horizontal="center"/>
    </xf>
    <xf numFmtId="0" fontId="32" fillId="7" borderId="17" xfId="0" applyNumberFormat="1" applyFont="1" applyFill="1" applyBorder="1" applyAlignment="1" applyProtection="1">
      <alignment horizontal="center" vertical="center" wrapText="1"/>
      <protection hidden="1"/>
    </xf>
    <xf numFmtId="0" fontId="32" fillId="7" borderId="18" xfId="0" applyNumberFormat="1" applyFont="1" applyFill="1" applyBorder="1" applyAlignment="1" applyProtection="1">
      <alignment horizontal="center" vertical="center" wrapText="1"/>
      <protection hidden="1"/>
    </xf>
    <xf numFmtId="0" fontId="32" fillId="7" borderId="18" xfId="0" applyNumberFormat="1" applyFont="1" applyFill="1" applyBorder="1" applyAlignment="1" applyProtection="1">
      <alignment horizontal="center" vertical="center" wrapText="1"/>
      <protection hidden="1"/>
    </xf>
    <xf numFmtId="0" fontId="32" fillId="7" borderId="18" xfId="0" applyNumberFormat="1" applyFont="1" applyFill="1" applyBorder="1" applyAlignment="1" applyProtection="1">
      <alignment horizontal="center" vertical="center"/>
      <protection hidden="1"/>
    </xf>
    <xf numFmtId="0" fontId="32" fillId="0" borderId="10" xfId="0" applyNumberFormat="1" applyFont="1" applyFill="1" applyBorder="1" applyAlignment="1" applyProtection="1">
      <alignment horizontal="center" vertical="center"/>
      <protection hidden="1"/>
    </xf>
    <xf numFmtId="0" fontId="32" fillId="2" borderId="19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Border="1" applyAlignment="1" applyProtection="1">
      <alignment vertical="center"/>
      <protection hidden="1"/>
    </xf>
    <xf numFmtId="2" fontId="12" fillId="2" borderId="0" xfId="0" applyNumberFormat="1" applyFont="1" applyFill="1" applyBorder="1" applyAlignment="1" applyProtection="1">
      <alignment vertical="center"/>
      <protection locked="0"/>
    </xf>
    <xf numFmtId="181" fontId="30" fillId="2" borderId="20" xfId="0" applyNumberFormat="1" applyFont="1" applyFill="1" applyBorder="1" applyAlignment="1" applyProtection="1">
      <alignment horizontal="center" vertical="center" wrapText="1"/>
      <protection hidden="1"/>
    </xf>
    <xf numFmtId="181" fontId="30" fillId="2" borderId="21" xfId="0" applyNumberFormat="1" applyFont="1" applyFill="1" applyBorder="1" applyAlignment="1" applyProtection="1">
      <alignment horizontal="center" vertical="center" wrapText="1"/>
      <protection hidden="1"/>
    </xf>
    <xf numFmtId="181" fontId="30" fillId="2" borderId="21" xfId="0" applyNumberFormat="1" applyFont="1" applyFill="1" applyBorder="1" applyAlignment="1" applyProtection="1">
      <alignment horizontal="center" vertical="center" wrapText="1"/>
      <protection hidden="1"/>
    </xf>
    <xf numFmtId="181" fontId="30" fillId="2" borderId="11" xfId="0" applyNumberFormat="1" applyFont="1" applyFill="1" applyBorder="1" applyAlignment="1" applyProtection="1">
      <alignment horizontal="center" vertical="center"/>
      <protection hidden="1"/>
    </xf>
    <xf numFmtId="184" fontId="30" fillId="2" borderId="11" xfId="0" applyNumberFormat="1" applyFont="1" applyFill="1" applyBorder="1" applyAlignment="1" applyProtection="1">
      <alignment horizontal="center" vertical="center"/>
      <protection hidden="1"/>
    </xf>
    <xf numFmtId="184" fontId="30" fillId="2" borderId="22" xfId="0" applyNumberFormat="1" applyFont="1" applyFill="1" applyBorder="1" applyAlignment="1" applyProtection="1">
      <alignment horizontal="center" vertical="center"/>
      <protection hidden="1"/>
    </xf>
    <xf numFmtId="0" fontId="10" fillId="2" borderId="0" xfId="0" applyNumberFormat="1" applyFont="1" applyFill="1" applyBorder="1" applyAlignment="1" applyProtection="1">
      <alignment horizontal="center" vertical="center"/>
      <protection hidden="1"/>
    </xf>
    <xf numFmtId="0" fontId="12" fillId="2" borderId="23" xfId="0" applyNumberFormat="1" applyFont="1" applyFill="1" applyBorder="1" applyAlignment="1" applyProtection="1">
      <alignment horizontal="left" vertical="center"/>
      <protection hidden="1"/>
    </xf>
    <xf numFmtId="0" fontId="12" fillId="2" borderId="24" xfId="0" applyNumberFormat="1" applyFont="1" applyFill="1" applyBorder="1" applyAlignment="1" applyProtection="1">
      <alignment horizontal="left" vertical="center"/>
      <protection hidden="1"/>
    </xf>
    <xf numFmtId="0" fontId="12" fillId="2" borderId="24" xfId="0" applyNumberFormat="1" applyFont="1" applyFill="1" applyBorder="1" applyAlignment="1" applyProtection="1">
      <alignment horizontal="left" vertical="center"/>
      <protection hidden="1"/>
    </xf>
    <xf numFmtId="178" fontId="12" fillId="2" borderId="25" xfId="0" applyNumberFormat="1" applyFont="1" applyFill="1" applyBorder="1" applyAlignment="1" applyProtection="1">
      <alignment horizontal="center" vertical="center"/>
      <protection hidden="1"/>
    </xf>
    <xf numFmtId="0" fontId="33" fillId="2" borderId="24" xfId="0" applyNumberFormat="1" applyFont="1" applyFill="1" applyBorder="1" applyAlignment="1" applyProtection="1">
      <alignment horizontal="center" vertical="center"/>
      <protection hidden="1"/>
    </xf>
    <xf numFmtId="0" fontId="0" fillId="2" borderId="24" xfId="0" applyFill="1" applyBorder="1" applyProtection="1"/>
    <xf numFmtId="0" fontId="12" fillId="2" borderId="26" xfId="0" applyNumberFormat="1" applyFont="1" applyFill="1" applyBorder="1" applyAlignment="1" applyProtection="1">
      <alignment horizontal="left" vertical="center"/>
      <protection hidden="1"/>
    </xf>
    <xf numFmtId="0" fontId="12" fillId="2" borderId="0" xfId="0" applyNumberFormat="1" applyFont="1" applyFill="1" applyAlignment="1" applyProtection="1">
      <alignment horizontal="left" vertical="center"/>
      <protection hidden="1"/>
    </xf>
    <xf numFmtId="0" fontId="0" fillId="0" borderId="0" xfId="0" applyBorder="1" applyAlignment="1">
      <alignment horizontal="center" vertical="center"/>
    </xf>
    <xf numFmtId="184" fontId="30" fillId="2" borderId="5" xfId="0" applyNumberFormat="1" applyFont="1" applyFill="1" applyBorder="1" applyAlignment="1" applyProtection="1">
      <alignment horizontal="left" vertical="center" wrapText="1"/>
      <protection hidden="1"/>
    </xf>
    <xf numFmtId="184" fontId="30" fillId="2" borderId="0" xfId="0" applyNumberFormat="1" applyFont="1" applyFill="1" applyBorder="1" applyAlignment="1" applyProtection="1">
      <alignment horizontal="left" vertical="center" wrapText="1"/>
      <protection hidden="1"/>
    </xf>
    <xf numFmtId="184" fontId="30" fillId="2" borderId="0" xfId="0" applyNumberFormat="1" applyFont="1" applyFill="1" applyBorder="1" applyAlignment="1" applyProtection="1">
      <alignment horizontal="left" vertical="center" wrapText="1"/>
      <protection hidden="1"/>
    </xf>
    <xf numFmtId="184" fontId="30" fillId="2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2" borderId="0" xfId="0" applyFill="1" applyBorder="1" applyAlignment="1" applyProtection="1">
      <alignment horizontal="center" vertical="center"/>
    </xf>
    <xf numFmtId="0" fontId="0" fillId="2" borderId="0" xfId="0" applyFill="1" applyBorder="1" applyProtection="1"/>
    <xf numFmtId="184" fontId="30" fillId="2" borderId="0" xfId="0" applyNumberFormat="1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 applyProtection="1">
      <alignment horizontal="left" vertical="center"/>
    </xf>
    <xf numFmtId="0" fontId="23" fillId="2" borderId="27" xfId="0" applyNumberFormat="1" applyFont="1" applyFill="1" applyBorder="1" applyAlignment="1" applyProtection="1">
      <alignment horizontal="center" vertical="center"/>
      <protection hidden="1"/>
    </xf>
    <xf numFmtId="0" fontId="27" fillId="2" borderId="7" xfId="0" applyFont="1" applyFill="1" applyBorder="1" applyAlignment="1" applyProtection="1">
      <alignment horizontal="left" vertical="center"/>
    </xf>
    <xf numFmtId="0" fontId="27" fillId="2" borderId="0" xfId="0" applyFont="1" applyFill="1" applyAlignment="1" applyProtection="1">
      <alignment horizontal="left" vertical="center"/>
    </xf>
    <xf numFmtId="0" fontId="29" fillId="0" borderId="0" xfId="0" applyFont="1" applyBorder="1" applyAlignment="1">
      <alignment horizontal="center" vertical="center"/>
    </xf>
    <xf numFmtId="179" fontId="10" fillId="0" borderId="28" xfId="0" applyNumberFormat="1" applyFont="1" applyFill="1" applyBorder="1" applyAlignment="1" applyProtection="1">
      <alignment horizontal="left" vertical="center"/>
    </xf>
    <xf numFmtId="179" fontId="10" fillId="0" borderId="29" xfId="0" applyNumberFormat="1" applyFont="1" applyFill="1" applyBorder="1" applyAlignment="1" applyProtection="1">
      <alignment horizontal="left" vertical="center"/>
    </xf>
    <xf numFmtId="179" fontId="10" fillId="0" borderId="29" xfId="0" applyNumberFormat="1" applyFont="1" applyFill="1" applyBorder="1" applyAlignment="1" applyProtection="1">
      <alignment horizontal="left" vertical="center"/>
    </xf>
    <xf numFmtId="185" fontId="30" fillId="0" borderId="25" xfId="0" applyNumberFormat="1" applyFont="1" applyFill="1" applyBorder="1" applyAlignment="1" applyProtection="1">
      <alignment horizontal="center" vertical="center"/>
    </xf>
    <xf numFmtId="185" fontId="12" fillId="0" borderId="25" xfId="0" applyNumberFormat="1" applyFont="1" applyFill="1" applyBorder="1" applyAlignment="1" applyProtection="1">
      <alignment horizontal="center" vertical="center"/>
    </xf>
    <xf numFmtId="10" fontId="30" fillId="0" borderId="10" xfId="0" applyNumberFormat="1" applyFont="1" applyFill="1" applyBorder="1" applyAlignment="1" applyProtection="1">
      <alignment horizontal="center" vertical="center"/>
    </xf>
    <xf numFmtId="9" fontId="34" fillId="0" borderId="10" xfId="3" applyNumberFormat="1" applyFont="1" applyFill="1" applyBorder="1" applyAlignment="1" applyProtection="1">
      <alignment horizontal="center" vertical="center"/>
    </xf>
    <xf numFmtId="185" fontId="30" fillId="0" borderId="10" xfId="0" applyNumberFormat="1" applyFont="1" applyFill="1" applyBorder="1" applyAlignment="1" applyProtection="1">
      <alignment horizontal="center" vertical="center"/>
    </xf>
    <xf numFmtId="185" fontId="30" fillId="0" borderId="30" xfId="0" applyNumberFormat="1" applyFont="1" applyFill="1" applyBorder="1" applyAlignment="1" applyProtection="1">
      <alignment horizontal="center" vertical="center"/>
    </xf>
    <xf numFmtId="9" fontId="10" fillId="2" borderId="0" xfId="0" applyNumberFormat="1" applyFont="1" applyFill="1" applyAlignment="1" applyProtection="1">
      <alignment horizontal="center" vertical="center"/>
    </xf>
    <xf numFmtId="9" fontId="3" fillId="0" borderId="10" xfId="3" applyFont="1" applyBorder="1" applyAlignment="1">
      <alignment horizontal="center" vertical="center"/>
    </xf>
    <xf numFmtId="179" fontId="10" fillId="0" borderId="17" xfId="0" applyNumberFormat="1" applyFont="1" applyFill="1" applyBorder="1" applyAlignment="1" applyProtection="1">
      <alignment horizontal="left" vertical="center"/>
    </xf>
    <xf numFmtId="179" fontId="10" fillId="0" borderId="18" xfId="0" applyNumberFormat="1" applyFont="1" applyFill="1" applyBorder="1" applyAlignment="1" applyProtection="1">
      <alignment horizontal="left" vertical="center"/>
    </xf>
    <xf numFmtId="179" fontId="10" fillId="0" borderId="18" xfId="0" applyNumberFormat="1" applyFont="1" applyFill="1" applyBorder="1" applyAlignment="1" applyProtection="1">
      <alignment horizontal="left" vertical="center"/>
    </xf>
    <xf numFmtId="180" fontId="30" fillId="0" borderId="10" xfId="0" applyNumberFormat="1" applyFont="1" applyFill="1" applyBorder="1" applyAlignment="1" applyProtection="1">
      <alignment horizontal="center" vertical="center"/>
    </xf>
    <xf numFmtId="177" fontId="30" fillId="0" borderId="10" xfId="0" applyNumberFormat="1" applyFont="1" applyFill="1" applyBorder="1" applyAlignment="1" applyProtection="1">
      <alignment horizontal="center" vertical="center"/>
    </xf>
    <xf numFmtId="177" fontId="12" fillId="0" borderId="10" xfId="0" applyNumberFormat="1" applyFont="1" applyFill="1" applyBorder="1" applyAlignment="1" applyProtection="1">
      <alignment horizontal="center" vertical="center"/>
    </xf>
    <xf numFmtId="180" fontId="12" fillId="0" borderId="10" xfId="0" applyNumberFormat="1" applyFont="1" applyFill="1" applyBorder="1" applyAlignment="1" applyProtection="1">
      <alignment horizontal="center" vertical="center"/>
    </xf>
    <xf numFmtId="180" fontId="30" fillId="0" borderId="19" xfId="0" applyNumberFormat="1" applyFont="1" applyFill="1" applyBorder="1" applyAlignment="1" applyProtection="1">
      <alignment horizontal="center" vertical="center"/>
    </xf>
    <xf numFmtId="180" fontId="12" fillId="2" borderId="0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Fill="1" applyBorder="1" applyAlignment="1" applyProtection="1">
      <alignment horizontal="center"/>
      <protection hidden="1"/>
    </xf>
    <xf numFmtId="179" fontId="30" fillId="0" borderId="10" xfId="0" applyNumberFormat="1" applyFont="1" applyFill="1" applyBorder="1" applyAlignment="1" applyProtection="1">
      <alignment horizontal="center" vertical="center"/>
    </xf>
    <xf numFmtId="179" fontId="12" fillId="0" borderId="10" xfId="0" applyNumberFormat="1" applyFont="1" applyFill="1" applyBorder="1" applyAlignment="1" applyProtection="1">
      <alignment horizontal="center" vertical="center"/>
    </xf>
    <xf numFmtId="179" fontId="30" fillId="0" borderId="19" xfId="0" applyNumberFormat="1" applyFont="1" applyFill="1" applyBorder="1" applyAlignment="1" applyProtection="1">
      <alignment horizontal="center" vertical="center"/>
    </xf>
    <xf numFmtId="180" fontId="21" fillId="0" borderId="0" xfId="0" applyNumberFormat="1" applyFont="1" applyAlignment="1">
      <alignment horizontal="center" vertical="center"/>
    </xf>
    <xf numFmtId="181" fontId="21" fillId="0" borderId="0" xfId="0" applyNumberFormat="1" applyFont="1" applyAlignment="1">
      <alignment horizontal="center" vertical="center"/>
    </xf>
    <xf numFmtId="179" fontId="10" fillId="0" borderId="17" xfId="0" applyNumberFormat="1" applyFont="1" applyFill="1" applyBorder="1" applyAlignment="1" applyProtection="1">
      <alignment vertical="center"/>
      <protection hidden="1"/>
    </xf>
    <xf numFmtId="179" fontId="10" fillId="0" borderId="18" xfId="0" applyNumberFormat="1" applyFont="1" applyFill="1" applyBorder="1" applyAlignment="1" applyProtection="1">
      <alignment vertical="center"/>
      <protection hidden="1"/>
    </xf>
    <xf numFmtId="179" fontId="10" fillId="0" borderId="18" xfId="0" applyNumberFormat="1" applyFont="1" applyFill="1" applyBorder="1" applyAlignment="1" applyProtection="1">
      <alignment vertical="center"/>
      <protection hidden="1"/>
    </xf>
    <xf numFmtId="177" fontId="30" fillId="0" borderId="10" xfId="0" applyNumberFormat="1" applyFont="1" applyFill="1" applyBorder="1" applyAlignment="1" applyProtection="1">
      <alignment horizontal="center" vertical="center"/>
      <protection hidden="1"/>
    </xf>
    <xf numFmtId="177" fontId="12" fillId="0" borderId="10" xfId="0" applyNumberFormat="1" applyFont="1" applyFill="1" applyBorder="1" applyAlignment="1" applyProtection="1">
      <alignment horizontal="center" vertical="center"/>
      <protection hidden="1"/>
    </xf>
    <xf numFmtId="177" fontId="30" fillId="0" borderId="19" xfId="0" applyNumberFormat="1" applyFont="1" applyFill="1" applyBorder="1" applyAlignment="1" applyProtection="1">
      <alignment horizontal="center" vertical="center"/>
      <protection hidden="1"/>
    </xf>
    <xf numFmtId="180" fontId="12" fillId="2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>
      <alignment vertical="center"/>
    </xf>
    <xf numFmtId="0" fontId="17" fillId="0" borderId="0" xfId="0" applyNumberFormat="1" applyFont="1" applyFill="1" applyBorder="1" applyAlignment="1" applyProtection="1">
      <alignment horizontal="center" vertical="center"/>
      <protection hidden="1"/>
    </xf>
    <xf numFmtId="179" fontId="23" fillId="0" borderId="17" xfId="0" applyNumberFormat="1" applyFont="1" applyFill="1" applyBorder="1" applyAlignment="1" applyProtection="1">
      <alignment vertical="center"/>
      <protection hidden="1"/>
    </xf>
    <xf numFmtId="179" fontId="23" fillId="0" borderId="18" xfId="0" applyNumberFormat="1" applyFont="1" applyFill="1" applyBorder="1" applyAlignment="1" applyProtection="1">
      <alignment vertical="center"/>
      <protection hidden="1"/>
    </xf>
    <xf numFmtId="179" fontId="23" fillId="0" borderId="18" xfId="0" applyNumberFormat="1" applyFont="1" applyFill="1" applyBorder="1" applyAlignment="1" applyProtection="1">
      <alignment vertical="center"/>
      <protection hidden="1"/>
    </xf>
    <xf numFmtId="179" fontId="30" fillId="0" borderId="10" xfId="0" applyNumberFormat="1" applyFont="1" applyFill="1" applyBorder="1" applyAlignment="1" applyProtection="1">
      <alignment horizontal="center" vertical="center"/>
      <protection hidden="1"/>
    </xf>
    <xf numFmtId="181" fontId="30" fillId="0" borderId="10" xfId="0" applyNumberFormat="1" applyFont="1" applyFill="1" applyBorder="1" applyAlignment="1" applyProtection="1">
      <alignment horizontal="center" vertical="center"/>
      <protection hidden="1"/>
    </xf>
    <xf numFmtId="181" fontId="12" fillId="0" borderId="10" xfId="0" applyNumberFormat="1" applyFont="1" applyFill="1" applyBorder="1" applyAlignment="1" applyProtection="1">
      <alignment horizontal="center" vertical="center"/>
      <protection hidden="1"/>
    </xf>
    <xf numFmtId="181" fontId="30" fillId="0" borderId="19" xfId="0" applyNumberFormat="1" applyFont="1" applyFill="1" applyBorder="1" applyAlignment="1" applyProtection="1">
      <alignment horizontal="center" vertical="center"/>
      <protection hidden="1"/>
    </xf>
    <xf numFmtId="181" fontId="30" fillId="2" borderId="0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Alignment="1">
      <alignment horizontal="center" vertical="center"/>
    </xf>
    <xf numFmtId="179" fontId="12" fillId="0" borderId="10" xfId="0" applyNumberFormat="1" applyFont="1" applyFill="1" applyBorder="1" applyAlignment="1" applyProtection="1">
      <alignment horizontal="center" vertical="center"/>
      <protection hidden="1"/>
    </xf>
    <xf numFmtId="179" fontId="34" fillId="0" borderId="10" xfId="0" applyNumberFormat="1" applyFont="1" applyFill="1" applyBorder="1" applyAlignment="1" applyProtection="1">
      <alignment horizontal="center" vertical="center"/>
      <protection hidden="1"/>
    </xf>
    <xf numFmtId="179" fontId="30" fillId="0" borderId="19" xfId="0" applyNumberFormat="1" applyFont="1" applyFill="1" applyBorder="1" applyAlignment="1" applyProtection="1">
      <alignment horizontal="center" vertical="center"/>
      <protection hidden="1"/>
    </xf>
    <xf numFmtId="180" fontId="9" fillId="0" borderId="0" xfId="0" applyNumberFormat="1" applyFont="1" applyFill="1" applyBorder="1" applyAlignment="1" applyProtection="1">
      <alignment horizontal="center" vertical="center"/>
      <protection hidden="1"/>
    </xf>
    <xf numFmtId="181" fontId="34" fillId="0" borderId="10" xfId="0" applyNumberFormat="1" applyFont="1" applyFill="1" applyBorder="1" applyAlignment="1" applyProtection="1">
      <alignment horizontal="center" vertical="center"/>
      <protection hidden="1"/>
    </xf>
    <xf numFmtId="179" fontId="23" fillId="2" borderId="17" xfId="0" applyNumberFormat="1" applyFont="1" applyFill="1" applyBorder="1" applyAlignment="1" applyProtection="1">
      <alignment vertical="center"/>
      <protection hidden="1"/>
    </xf>
    <xf numFmtId="179" fontId="23" fillId="2" borderId="18" xfId="0" applyNumberFormat="1" applyFont="1" applyFill="1" applyBorder="1" applyAlignment="1" applyProtection="1">
      <alignment vertical="center"/>
      <protection hidden="1"/>
    </xf>
    <xf numFmtId="179" fontId="23" fillId="2" borderId="18" xfId="0" applyNumberFormat="1" applyFont="1" applyFill="1" applyBorder="1" applyAlignment="1" applyProtection="1">
      <alignment vertical="center"/>
      <protection hidden="1"/>
    </xf>
    <xf numFmtId="179" fontId="12" fillId="0" borderId="19" xfId="0" applyNumberFormat="1" applyFont="1" applyFill="1" applyBorder="1" applyAlignment="1" applyProtection="1">
      <alignment horizontal="center" vertical="center"/>
      <protection hidden="1"/>
    </xf>
    <xf numFmtId="181" fontId="12" fillId="2" borderId="0" xfId="0" applyNumberFormat="1" applyFont="1" applyFill="1" applyBorder="1" applyAlignment="1" applyProtection="1">
      <alignment horizontal="center" vertical="center"/>
      <protection hidden="1"/>
    </xf>
    <xf numFmtId="179" fontId="35" fillId="2" borderId="5" xfId="0" applyNumberFormat="1" applyFont="1" applyFill="1" applyBorder="1" applyAlignment="1" applyProtection="1">
      <alignment vertical="center"/>
      <protection hidden="1"/>
    </xf>
    <xf numFmtId="179" fontId="35" fillId="2" borderId="0" xfId="0" applyNumberFormat="1" applyFont="1" applyFill="1" applyAlignment="1" applyProtection="1">
      <alignment vertical="center"/>
      <protection hidden="1"/>
    </xf>
    <xf numFmtId="179" fontId="0" fillId="0" borderId="0" xfId="0" applyNumberFormat="1" applyFill="1" applyAlignment="1" applyProtection="1">
      <alignment horizontal="center"/>
    </xf>
    <xf numFmtId="179" fontId="0" fillId="0" borderId="0" xfId="0" applyNumberFormat="1" applyFill="1" applyAlignment="1" applyProtection="1">
      <alignment horizontal="center" vertical="center"/>
    </xf>
    <xf numFmtId="179" fontId="0" fillId="0" borderId="7" xfId="0" applyNumberForma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179" fontId="29" fillId="2" borderId="5" xfId="0" applyNumberFormat="1" applyFont="1" applyFill="1" applyBorder="1" applyAlignment="1" applyProtection="1">
      <alignment horizontal="left" wrapText="1"/>
    </xf>
    <xf numFmtId="179" fontId="29" fillId="2" borderId="0" xfId="0" applyNumberFormat="1" applyFont="1" applyFill="1" applyAlignment="1" applyProtection="1">
      <alignment horizontal="left" wrapText="1"/>
    </xf>
    <xf numFmtId="179" fontId="29" fillId="2" borderId="0" xfId="0" applyNumberFormat="1" applyFont="1" applyFill="1" applyAlignment="1" applyProtection="1">
      <alignment horizontal="center" vertical="center" wrapText="1"/>
    </xf>
    <xf numFmtId="179" fontId="29" fillId="2" borderId="7" xfId="0" applyNumberFormat="1" applyFont="1" applyFill="1" applyBorder="1" applyAlignment="1" applyProtection="1">
      <alignment horizontal="left" wrapText="1"/>
    </xf>
    <xf numFmtId="0" fontId="29" fillId="2" borderId="0" xfId="0" applyFont="1" applyFill="1" applyBorder="1" applyAlignment="1" applyProtection="1">
      <alignment horizontal="left" wrapText="1"/>
    </xf>
    <xf numFmtId="0" fontId="36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Border="1" applyAlignment="1" applyProtection="1">
      <protection hidden="1"/>
    </xf>
    <xf numFmtId="179" fontId="6" fillId="2" borderId="14" xfId="0" applyNumberFormat="1" applyFont="1" applyFill="1" applyBorder="1" applyAlignment="1" applyProtection="1">
      <alignment horizontal="left"/>
      <protection hidden="1"/>
    </xf>
    <xf numFmtId="179" fontId="6" fillId="2" borderId="8" xfId="0" applyNumberFormat="1" applyFont="1" applyFill="1" applyBorder="1" applyAlignment="1" applyProtection="1">
      <alignment horizontal="left"/>
      <protection hidden="1"/>
    </xf>
    <xf numFmtId="179" fontId="6" fillId="2" borderId="8" xfId="0" applyNumberFormat="1" applyFont="1" applyFill="1" applyBorder="1" applyAlignment="1" applyProtection="1">
      <alignment horizontal="left"/>
      <protection hidden="1"/>
    </xf>
    <xf numFmtId="179" fontId="6" fillId="2" borderId="8" xfId="0" applyNumberFormat="1" applyFont="1" applyFill="1" applyBorder="1" applyAlignment="1" applyProtection="1">
      <alignment horizontal="center" vertical="center"/>
      <protection hidden="1"/>
    </xf>
    <xf numFmtId="179" fontId="6" fillId="2" borderId="9" xfId="0" applyNumberFormat="1" applyFont="1" applyFill="1" applyBorder="1" applyAlignment="1" applyProtection="1">
      <alignment horizontal="left"/>
      <protection hidden="1"/>
    </xf>
    <xf numFmtId="0" fontId="6" fillId="2" borderId="0" xfId="0" applyNumberFormat="1" applyFont="1" applyFill="1" applyBorder="1" applyAlignment="1" applyProtection="1">
      <alignment horizontal="left"/>
      <protection hidden="1"/>
    </xf>
    <xf numFmtId="0" fontId="6" fillId="0" borderId="0" xfId="0" applyNumberFormat="1" applyFont="1" applyFill="1" applyAlignment="1" applyProtection="1">
      <alignment horizontal="center"/>
      <protection hidden="1"/>
    </xf>
    <xf numFmtId="0" fontId="6" fillId="0" borderId="0" xfId="0" applyNumberFormat="1" applyFont="1" applyFill="1" applyAlignment="1" applyProtection="1">
      <alignment horizontal="center" vertical="center"/>
      <protection hidden="1"/>
    </xf>
    <xf numFmtId="0" fontId="5" fillId="0" borderId="10" xfId="0" applyNumberFormat="1" applyFont="1" applyFill="1" applyBorder="1" applyAlignment="1" applyProtection="1">
      <protection hidden="1"/>
    </xf>
    <xf numFmtId="0" fontId="5" fillId="0" borderId="0" xfId="0" applyNumberFormat="1" applyFont="1" applyFill="1" applyAlignment="1" applyProtection="1">
      <alignment horizontal="center"/>
      <protection hidden="1"/>
    </xf>
    <xf numFmtId="0" fontId="5" fillId="8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Border="1" applyAlignment="1" applyProtection="1">
      <protection hidden="1"/>
    </xf>
    <xf numFmtId="0" fontId="37" fillId="0" borderId="0" xfId="0" applyNumberFormat="1" applyFont="1" applyFill="1" applyBorder="1" applyAlignment="1" applyProtection="1">
      <protection hidden="1"/>
    </xf>
    <xf numFmtId="0" fontId="5" fillId="0" borderId="1" xfId="0" applyNumberFormat="1" applyFont="1" applyFill="1" applyBorder="1" applyAlignment="1" applyProtection="1">
      <protection hidden="1"/>
    </xf>
    <xf numFmtId="178" fontId="5" fillId="0" borderId="2" xfId="0" applyNumberFormat="1" applyFont="1" applyFill="1" applyBorder="1" applyAlignment="1" applyProtection="1">
      <alignment horizontal="center" vertical="center"/>
      <protection hidden="1"/>
    </xf>
    <xf numFmtId="1" fontId="5" fillId="0" borderId="2" xfId="0" applyNumberFormat="1" applyFont="1" applyFill="1" applyBorder="1" applyAlignment="1" applyProtection="1">
      <protection hidden="1"/>
    </xf>
    <xf numFmtId="0" fontId="5" fillId="0" borderId="2" xfId="0" applyNumberFormat="1" applyFont="1" applyFill="1" applyBorder="1" applyAlignment="1" applyProtection="1">
      <protection hidden="1"/>
    </xf>
    <xf numFmtId="0" fontId="5" fillId="0" borderId="1" xfId="0" applyNumberFormat="1" applyFont="1" applyFill="1" applyBorder="1" applyAlignment="1" applyProtection="1">
      <alignment horizontal="center"/>
      <protection hidden="1"/>
    </xf>
    <xf numFmtId="0" fontId="13" fillId="0" borderId="23" xfId="0" applyNumberFormat="1" applyFont="1" applyFill="1" applyBorder="1" applyAlignment="1" applyProtection="1">
      <protection hidden="1"/>
    </xf>
    <xf numFmtId="0" fontId="36" fillId="0" borderId="24" xfId="0" applyNumberFormat="1" applyFont="1" applyFill="1" applyBorder="1" applyAlignment="1" applyProtection="1">
      <alignment horizontal="centerContinuous"/>
      <protection hidden="1"/>
    </xf>
    <xf numFmtId="0" fontId="13" fillId="0" borderId="24" xfId="0" applyNumberFormat="1" applyFont="1" applyFill="1" applyBorder="1" applyAlignment="1" applyProtection="1">
      <alignment horizontal="center" vertical="center"/>
      <protection hidden="1"/>
    </xf>
    <xf numFmtId="0" fontId="13" fillId="0" borderId="26" xfId="0" applyNumberFormat="1" applyFont="1" applyFill="1" applyBorder="1" applyAlignment="1" applyProtection="1">
      <protection hidden="1"/>
    </xf>
    <xf numFmtId="0" fontId="13" fillId="0" borderId="23" xfId="0" applyNumberFormat="1" applyFont="1" applyFill="1" applyBorder="1" applyAlignment="1" applyProtection="1">
      <alignment horizontal="center" vertical="center"/>
      <protection hidden="1"/>
    </xf>
    <xf numFmtId="0" fontId="36" fillId="0" borderId="24" xfId="0" applyNumberFormat="1" applyFont="1" applyFill="1" applyBorder="1" applyAlignment="1" applyProtection="1">
      <alignment horizontal="center" vertical="center"/>
      <protection hidden="1"/>
    </xf>
    <xf numFmtId="0" fontId="5" fillId="0" borderId="5" xfId="0" applyNumberFormat="1" applyFont="1" applyFill="1" applyBorder="1" applyAlignment="1" applyProtection="1">
      <protection hidden="1"/>
    </xf>
    <xf numFmtId="178" fontId="5" fillId="0" borderId="0" xfId="0" applyNumberFormat="1" applyFont="1" applyFill="1" applyBorder="1" applyAlignment="1" applyProtection="1">
      <alignment horizontal="center" vertical="center"/>
      <protection hidden="1"/>
    </xf>
    <xf numFmtId="186" fontId="5" fillId="0" borderId="0" xfId="0" applyNumberFormat="1" applyFont="1" applyFill="1" applyBorder="1" applyAlignment="1" applyProtection="1">
      <protection hidden="1"/>
    </xf>
    <xf numFmtId="178" fontId="5" fillId="0" borderId="0" xfId="0" applyNumberFormat="1" applyFont="1" applyFill="1" applyBorder="1" applyAlignment="1" applyProtection="1">
      <protection hidden="1"/>
    </xf>
    <xf numFmtId="0" fontId="5" fillId="0" borderId="5" xfId="0" applyNumberFormat="1" applyFont="1" applyFill="1" applyBorder="1" applyAlignment="1" applyProtection="1">
      <alignment horizontal="center"/>
      <protection hidden="1"/>
    </xf>
    <xf numFmtId="0" fontId="5" fillId="0" borderId="5" xfId="0" applyNumberFormat="1" applyFont="1" applyFill="1" applyBorder="1" applyAlignment="1" applyProtection="1">
      <alignment horizontal="left"/>
      <protection hidden="1"/>
    </xf>
    <xf numFmtId="0" fontId="5" fillId="0" borderId="31" xfId="0" applyNumberFormat="1" applyFont="1" applyFill="1" applyBorder="1" applyAlignment="1" applyProtection="1">
      <protection hidden="1"/>
    </xf>
    <xf numFmtId="178" fontId="5" fillId="0" borderId="7" xfId="0" applyNumberFormat="1" applyFont="1" applyFill="1" applyBorder="1" applyAlignment="1" applyProtection="1">
      <protection hidden="1"/>
    </xf>
    <xf numFmtId="0" fontId="5" fillId="0" borderId="5" xfId="0" applyNumberFormat="1" applyFont="1" applyFill="1" applyBorder="1" applyAlignment="1" applyProtection="1">
      <alignment horizontal="center" vertical="center"/>
      <protection hidden="1"/>
    </xf>
    <xf numFmtId="1" fontId="5" fillId="0" borderId="31" xfId="0" applyNumberFormat="1" applyFont="1" applyFill="1" applyBorder="1" applyAlignment="1" applyProtection="1">
      <alignment horizontal="center" vertical="center"/>
      <protection hidden="1"/>
    </xf>
    <xf numFmtId="187" fontId="5" fillId="0" borderId="0" xfId="0" applyNumberFormat="1" applyFont="1" applyFill="1" applyBorder="1" applyAlignment="1" applyProtection="1">
      <protection hidden="1"/>
    </xf>
    <xf numFmtId="188" fontId="5" fillId="0" borderId="0" xfId="0" applyNumberFormat="1" applyFont="1" applyFill="1" applyBorder="1" applyAlignment="1" applyProtection="1">
      <protection hidden="1"/>
    </xf>
    <xf numFmtId="2" fontId="5" fillId="0" borderId="31" xfId="0" applyNumberFormat="1" applyFont="1" applyFill="1" applyBorder="1" applyAlignment="1" applyProtection="1">
      <alignment horizontal="center" vertical="center"/>
      <protection hidden="1"/>
    </xf>
    <xf numFmtId="1" fontId="5" fillId="0" borderId="7" xfId="0" applyNumberFormat="1" applyFont="1" applyFill="1" applyBorder="1" applyAlignment="1" applyProtection="1">
      <protection hidden="1"/>
    </xf>
    <xf numFmtId="1" fontId="5" fillId="0" borderId="0" xfId="0" applyNumberFormat="1" applyFont="1" applyFill="1" applyBorder="1" applyAlignment="1" applyProtection="1">
      <protection hidden="1"/>
    </xf>
    <xf numFmtId="0" fontId="5" fillId="0" borderId="31" xfId="0" applyNumberFormat="1" applyFont="1" applyFill="1" applyBorder="1" applyAlignment="1" applyProtection="1">
      <alignment horizontal="center" vertical="center"/>
      <protection hidden="1"/>
    </xf>
    <xf numFmtId="0" fontId="5" fillId="0" borderId="14" xfId="0" applyNumberFormat="1" applyFont="1" applyFill="1" applyBorder="1" applyAlignment="1" applyProtection="1">
      <protection hidden="1"/>
    </xf>
    <xf numFmtId="178" fontId="5" fillId="0" borderId="8" xfId="0" applyNumberFormat="1" applyFont="1" applyFill="1" applyBorder="1" applyAlignment="1" applyProtection="1">
      <alignment horizontal="center" vertical="center"/>
      <protection hidden="1"/>
    </xf>
    <xf numFmtId="178" fontId="5" fillId="0" borderId="8" xfId="0" applyNumberFormat="1" applyFont="1" applyFill="1" applyBorder="1" applyAlignment="1" applyProtection="1">
      <protection hidden="1"/>
    </xf>
    <xf numFmtId="0" fontId="5" fillId="0" borderId="8" xfId="0" applyNumberFormat="1" applyFont="1" applyFill="1" applyBorder="1" applyAlignment="1" applyProtection="1">
      <protection hidden="1"/>
    </xf>
    <xf numFmtId="0" fontId="5" fillId="0" borderId="14" xfId="0" applyNumberFormat="1" applyFont="1" applyFill="1" applyBorder="1" applyAlignment="1" applyProtection="1">
      <alignment horizontal="center"/>
      <protection hidden="1"/>
    </xf>
    <xf numFmtId="1" fontId="5" fillId="0" borderId="31" xfId="0" applyNumberFormat="1" applyFont="1" applyFill="1" applyBorder="1" applyAlignment="1" applyProtection="1">
      <protection hidden="1"/>
    </xf>
    <xf numFmtId="0" fontId="13" fillId="0" borderId="0" xfId="0" applyNumberFormat="1" applyFont="1" applyFill="1" applyBorder="1" applyAlignment="1" applyProtection="1"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5" fillId="0" borderId="7" xfId="0" applyNumberFormat="1" applyFont="1" applyFill="1" applyBorder="1" applyAlignment="1" applyProtection="1">
      <protection hidden="1"/>
    </xf>
    <xf numFmtId="0" fontId="13" fillId="0" borderId="1" xfId="0" applyNumberFormat="1" applyFont="1" applyFill="1" applyBorder="1" applyAlignment="1" applyProtection="1">
      <alignment horizontal="center"/>
      <protection hidden="1"/>
    </xf>
    <xf numFmtId="0" fontId="19" fillId="0" borderId="2" xfId="0" applyNumberFormat="1" applyFont="1" applyFill="1" applyBorder="1" applyAlignment="1" applyProtection="1">
      <alignment horizontal="center" vertical="center"/>
      <protection hidden="1"/>
    </xf>
    <xf numFmtId="0" fontId="5" fillId="0" borderId="2" xfId="0" applyNumberFormat="1" applyFont="1" applyFill="1" applyBorder="1" applyAlignment="1" applyProtection="1">
      <alignment horizontal="center"/>
      <protection hidden="1"/>
    </xf>
    <xf numFmtId="0" fontId="5" fillId="0" borderId="4" xfId="0" applyNumberFormat="1" applyFont="1" applyFill="1" applyBorder="1" applyAlignment="1" applyProtection="1">
      <alignment horizontal="center"/>
      <protection hidden="1"/>
    </xf>
    <xf numFmtId="0" fontId="38" fillId="0" borderId="1" xfId="0" applyNumberFormat="1" applyFont="1" applyFill="1" applyBorder="1" applyAlignment="1" applyProtection="1">
      <alignment horizontal="centerContinuous"/>
      <protection hidden="1"/>
    </xf>
    <xf numFmtId="0" fontId="38" fillId="0" borderId="4" xfId="0" applyNumberFormat="1" applyFont="1" applyFill="1" applyBorder="1" applyAlignment="1" applyProtection="1">
      <alignment horizontal="centerContinuous"/>
      <protection hidden="1"/>
    </xf>
    <xf numFmtId="2" fontId="5" fillId="0" borderId="31" xfId="0" applyNumberFormat="1" applyFont="1" applyFill="1" applyBorder="1" applyAlignment="1" applyProtection="1">
      <protection hidden="1"/>
    </xf>
    <xf numFmtId="2" fontId="5" fillId="0" borderId="0" xfId="0" applyNumberFormat="1" applyFont="1" applyFill="1" applyBorder="1" applyAlignment="1" applyProtection="1">
      <protection hidden="1"/>
    </xf>
    <xf numFmtId="2" fontId="5" fillId="0" borderId="7" xfId="0" applyNumberFormat="1" applyFont="1" applyFill="1" applyBorder="1" applyAlignment="1" applyProtection="1">
      <protection hidden="1"/>
    </xf>
    <xf numFmtId="0" fontId="13" fillId="0" borderId="5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Border="1" applyAlignment="1" applyProtection="1">
      <alignment horizontal="center"/>
      <protection hidden="1"/>
    </xf>
    <xf numFmtId="0" fontId="5" fillId="0" borderId="7" xfId="0" applyNumberFormat="1" applyFont="1" applyFill="1" applyBorder="1" applyAlignment="1" applyProtection="1">
      <alignment horizontal="center"/>
      <protection hidden="1"/>
    </xf>
    <xf numFmtId="0" fontId="13" fillId="0" borderId="5" xfId="0" applyNumberFormat="1" applyFont="1" applyFill="1" applyBorder="1" applyAlignment="1" applyProtection="1">
      <protection hidden="1"/>
    </xf>
    <xf numFmtId="2" fontId="5" fillId="0" borderId="0" xfId="0" applyNumberFormat="1" applyFont="1" applyFill="1" applyBorder="1" applyAlignment="1" applyProtection="1">
      <alignment horizontal="center"/>
      <protection hidden="1"/>
    </xf>
    <xf numFmtId="2" fontId="4" fillId="0" borderId="0" xfId="0" applyNumberFormat="1" applyFont="1" applyFill="1" applyBorder="1" applyAlignment="1" applyProtection="1">
      <alignment horizontal="center" vertical="center"/>
      <protection hidden="1"/>
    </xf>
    <xf numFmtId="0" fontId="13" fillId="0" borderId="7" xfId="0" applyNumberFormat="1" applyFont="1" applyFill="1" applyBorder="1" applyAlignment="1" applyProtection="1">
      <protection hidden="1"/>
    </xf>
    <xf numFmtId="0" fontId="5" fillId="0" borderId="32" xfId="0" applyNumberFormat="1" applyFont="1" applyFill="1" applyBorder="1" applyAlignment="1" applyProtection="1">
      <alignment horizontal="center"/>
      <protection hidden="1"/>
    </xf>
    <xf numFmtId="0" fontId="5" fillId="0" borderId="33" xfId="0" applyNumberFormat="1" applyFont="1" applyFill="1" applyBorder="1" applyAlignment="1" applyProtection="1">
      <alignment horizontal="center" vertical="center"/>
      <protection hidden="1"/>
    </xf>
    <xf numFmtId="0" fontId="5" fillId="0" borderId="33" xfId="0" applyNumberFormat="1" applyFont="1" applyFill="1" applyBorder="1" applyAlignment="1" applyProtection="1">
      <alignment horizontal="center"/>
      <protection hidden="1"/>
    </xf>
    <xf numFmtId="0" fontId="5" fillId="0" borderId="34" xfId="0" applyNumberFormat="1" applyFont="1" applyFill="1" applyBorder="1" applyAlignment="1" applyProtection="1">
      <alignment horizontal="center"/>
      <protection hidden="1"/>
    </xf>
    <xf numFmtId="0" fontId="13" fillId="0" borderId="14" xfId="0" applyNumberFormat="1" applyFont="1" applyFill="1" applyBorder="1" applyAlignment="1" applyProtection="1">
      <protection hidden="1"/>
    </xf>
    <xf numFmtId="0" fontId="5" fillId="0" borderId="9" xfId="0" applyNumberFormat="1" applyFont="1" applyFill="1" applyBorder="1" applyAlignment="1" applyProtection="1">
      <protection hidden="1"/>
    </xf>
    <xf numFmtId="0" fontId="19" fillId="0" borderId="31" xfId="0" applyNumberFormat="1" applyFont="1" applyFill="1" applyBorder="1" applyAlignment="1" applyProtection="1">
      <protection hidden="1"/>
    </xf>
    <xf numFmtId="0" fontId="19" fillId="0" borderId="0" xfId="0" applyNumberFormat="1" applyFont="1" applyFill="1" applyBorder="1" applyAlignment="1" applyProtection="1">
      <protection hidden="1"/>
    </xf>
    <xf numFmtId="0" fontId="19" fillId="0" borderId="31" xfId="0" applyNumberFormat="1" applyFont="1" applyFill="1" applyBorder="1" applyAlignment="1" applyProtection="1">
      <alignment horizontal="center" vertical="center"/>
      <protection hidden="1"/>
    </xf>
    <xf numFmtId="0" fontId="19" fillId="0" borderId="35" xfId="0" applyNumberFormat="1" applyFont="1" applyFill="1" applyBorder="1" applyAlignment="1" applyProtection="1">
      <protection hidden="1"/>
    </xf>
    <xf numFmtId="0" fontId="19" fillId="0" borderId="8" xfId="0" applyNumberFormat="1" applyFont="1" applyFill="1" applyBorder="1" applyAlignment="1" applyProtection="1">
      <protection hidden="1"/>
    </xf>
    <xf numFmtId="0" fontId="5" fillId="0" borderId="8" xfId="0" applyNumberFormat="1" applyFont="1" applyFill="1" applyBorder="1" applyAlignment="1" applyProtection="1">
      <alignment horizontal="center" vertical="center"/>
      <protection hidden="1"/>
    </xf>
    <xf numFmtId="0" fontId="5" fillId="0" borderId="14" xfId="0" applyNumberFormat="1" applyFont="1" applyFill="1" applyBorder="1" applyAlignment="1" applyProtection="1">
      <alignment horizontal="center" vertical="center"/>
      <protection hidden="1"/>
    </xf>
    <xf numFmtId="0" fontId="19" fillId="0" borderId="35" xfId="0" applyNumberFormat="1" applyFont="1" applyFill="1" applyBorder="1" applyAlignment="1" applyProtection="1">
      <alignment horizontal="center" vertical="center"/>
      <protection hidden="1"/>
    </xf>
    <xf numFmtId="0" fontId="19" fillId="0" borderId="2" xfId="0" applyNumberFormat="1" applyFont="1" applyFill="1" applyBorder="1" applyAlignment="1" applyProtection="1">
      <alignment horizontal="left"/>
      <protection hidden="1"/>
    </xf>
    <xf numFmtId="0" fontId="5" fillId="0" borderId="2" xfId="0" applyNumberFormat="1" applyFont="1" applyFill="1" applyBorder="1" applyAlignment="1" applyProtection="1">
      <alignment horizontal="center" vertical="center"/>
      <protection hidden="1"/>
    </xf>
    <xf numFmtId="0" fontId="5" fillId="0" borderId="4" xfId="0" applyNumberFormat="1" applyFont="1" applyFill="1" applyBorder="1" applyAlignment="1" applyProtection="1">
      <alignment horizontal="center" vertical="center"/>
      <protection hidden="1"/>
    </xf>
    <xf numFmtId="0" fontId="5" fillId="0" borderId="8" xfId="0" applyNumberFormat="1" applyFont="1" applyFill="1" applyBorder="1" applyAlignment="1" applyProtection="1">
      <alignment horizontal="center"/>
      <protection hidden="1"/>
    </xf>
    <xf numFmtId="0" fontId="5" fillId="0" borderId="9" xfId="0" applyNumberFormat="1" applyFont="1" applyFill="1" applyBorder="1" applyAlignment="1" applyProtection="1">
      <alignment horizontal="center"/>
      <protection hidden="1"/>
    </xf>
    <xf numFmtId="0" fontId="13" fillId="0" borderId="32" xfId="0" applyNumberFormat="1" applyFont="1" applyFill="1" applyBorder="1" applyAlignment="1" applyProtection="1">
      <alignment horizontal="center"/>
      <protection hidden="1"/>
    </xf>
    <xf numFmtId="0" fontId="5" fillId="0" borderId="34" xfId="0" applyNumberFormat="1" applyFont="1" applyFill="1" applyBorder="1" applyAlignment="1" applyProtection="1">
      <alignment horizontal="center" vertical="center"/>
      <protection hidden="1"/>
    </xf>
    <xf numFmtId="178" fontId="13" fillId="0" borderId="5" xfId="0" applyNumberFormat="1" applyFont="1" applyFill="1" applyBorder="1" applyAlignment="1" applyProtection="1">
      <alignment horizontal="center"/>
      <protection hidden="1"/>
    </xf>
    <xf numFmtId="0" fontId="5" fillId="0" borderId="6" xfId="0" applyNumberFormat="1" applyFont="1" applyFill="1" applyBorder="1" applyAlignment="1" applyProtection="1">
      <alignment horizontal="center"/>
      <protection hidden="1"/>
    </xf>
    <xf numFmtId="1" fontId="5" fillId="0" borderId="0" xfId="0" applyNumberFormat="1" applyFont="1" applyFill="1" applyBorder="1" applyAlignment="1" applyProtection="1">
      <alignment horizontal="center"/>
      <protection hidden="1"/>
    </xf>
    <xf numFmtId="2" fontId="5" fillId="0" borderId="0" xfId="0" applyNumberFormat="1" applyFont="1" applyFill="1" applyBorder="1" applyAlignment="1" applyProtection="1">
      <alignment horizontal="center" vertical="center"/>
      <protection hidden="1"/>
    </xf>
    <xf numFmtId="0" fontId="5" fillId="0" borderId="6" xfId="0" applyNumberFormat="1" applyFont="1" applyFill="1" applyBorder="1" applyAlignment="1" applyProtection="1">
      <alignment horizontal="center" vertical="center"/>
      <protection hidden="1"/>
    </xf>
    <xf numFmtId="0" fontId="5" fillId="0" borderId="7" xfId="0" applyNumberFormat="1" applyFont="1" applyFill="1" applyBorder="1" applyAlignment="1" applyProtection="1">
      <alignment horizontal="center" vertical="center"/>
      <protection hidden="1"/>
    </xf>
    <xf numFmtId="0" fontId="4" fillId="7" borderId="36" xfId="0" applyNumberFormat="1" applyFont="1" applyFill="1" applyBorder="1" applyAlignment="1" applyProtection="1">
      <alignment horizontal="center"/>
    </xf>
    <xf numFmtId="0" fontId="4" fillId="7" borderId="34" xfId="0" applyNumberFormat="1" applyFont="1" applyFill="1" applyBorder="1" applyAlignment="1" applyProtection="1">
      <alignment horizontal="center"/>
    </xf>
    <xf numFmtId="178" fontId="5" fillId="0" borderId="5" xfId="0" applyNumberFormat="1" applyFont="1" applyFill="1" applyBorder="1" applyAlignment="1" applyProtection="1">
      <alignment horizontal="center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78" fontId="4" fillId="7" borderId="0" xfId="0" applyNumberFormat="1" applyFont="1" applyFill="1" applyBorder="1" applyAlignment="1" applyProtection="1">
      <alignment horizontal="center" vertical="center"/>
    </xf>
    <xf numFmtId="178" fontId="4" fillId="0" borderId="7" xfId="0" applyNumberFormat="1" applyFont="1" applyFill="1" applyBorder="1" applyAlignment="1" applyProtection="1">
      <protection hidden="1"/>
    </xf>
    <xf numFmtId="0" fontId="4" fillId="0" borderId="0" xfId="0" applyNumberFormat="1" applyFont="1" applyFill="1" applyBorder="1" applyAlignment="1" applyProtection="1">
      <alignment horizontal="left"/>
      <protection hidden="1"/>
    </xf>
    <xf numFmtId="178" fontId="4" fillId="0" borderId="31" xfId="0" applyNumberFormat="1" applyFont="1" applyFill="1" applyBorder="1" applyAlignment="1" applyProtection="1">
      <alignment horizontal="center" vertical="center"/>
      <protection hidden="1"/>
    </xf>
    <xf numFmtId="0" fontId="13" fillId="0" borderId="6" xfId="0" applyNumberFormat="1" applyFont="1" applyFill="1" applyBorder="1" applyAlignment="1" applyProtection="1">
      <alignment horizontal="center"/>
      <protection hidden="1"/>
    </xf>
    <xf numFmtId="0" fontId="13" fillId="0" borderId="0" xfId="0" applyNumberFormat="1" applyFont="1" applyFill="1" applyBorder="1" applyAlignment="1" applyProtection="1">
      <alignment horizontal="center"/>
      <protection hidden="1"/>
    </xf>
    <xf numFmtId="0" fontId="13" fillId="0" borderId="6" xfId="0" applyNumberFormat="1" applyFont="1" applyFill="1" applyBorder="1" applyAlignment="1" applyProtection="1">
      <alignment horizontal="center" vertical="center"/>
      <protection hidden="1"/>
    </xf>
    <xf numFmtId="0" fontId="4" fillId="0" borderId="12" xfId="0" applyNumberFormat="1" applyFont="1" applyFill="1" applyBorder="1" applyAlignment="1" applyProtection="1">
      <alignment horizontal="right"/>
      <protection hidden="1"/>
    </xf>
    <xf numFmtId="178" fontId="4" fillId="0" borderId="33" xfId="0" applyNumberFormat="1" applyFont="1" applyFill="1" applyBorder="1" applyAlignment="1" applyProtection="1">
      <alignment horizontal="center" vertical="center"/>
      <protection hidden="1"/>
    </xf>
    <xf numFmtId="178" fontId="4" fillId="0" borderId="33" xfId="0" applyNumberFormat="1" applyFont="1" applyFill="1" applyBorder="1" applyAlignment="1" applyProtection="1">
      <alignment horizontal="left"/>
      <protection hidden="1"/>
    </xf>
    <xf numFmtId="178" fontId="4" fillId="0" borderId="13" xfId="0" applyNumberFormat="1" applyFont="1" applyFill="1" applyBorder="1" applyAlignment="1" applyProtection="1">
      <alignment horizontal="left"/>
      <protection hidden="1"/>
    </xf>
    <xf numFmtId="0" fontId="4" fillId="0" borderId="6" xfId="0" applyNumberFormat="1" applyFont="1" applyFill="1" applyBorder="1" applyAlignment="1" applyProtection="1">
      <alignment horizontal="right"/>
      <protection hidden="1"/>
    </xf>
    <xf numFmtId="178" fontId="4" fillId="0" borderId="0" xfId="0" applyNumberFormat="1" applyFont="1" applyFill="1" applyBorder="1" applyAlignment="1" applyProtection="1">
      <alignment horizontal="center" vertical="center"/>
      <protection hidden="1"/>
    </xf>
    <xf numFmtId="0" fontId="5" fillId="0" borderId="12" xfId="0" applyNumberFormat="1" applyFont="1" applyFill="1" applyBorder="1" applyAlignment="1" applyProtection="1">
      <alignment horizontal="center"/>
      <protection hidden="1"/>
    </xf>
    <xf numFmtId="0" fontId="5" fillId="0" borderId="12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/>
    <xf numFmtId="0" fontId="37" fillId="0" borderId="37" xfId="0" applyNumberFormat="1" applyFont="1" applyFill="1" applyBorder="1" applyAlignment="1" applyProtection="1">
      <alignment horizontal="right"/>
      <protection hidden="1"/>
    </xf>
    <xf numFmtId="0" fontId="13" fillId="0" borderId="38" xfId="0" applyNumberFormat="1" applyFont="1" applyFill="1" applyBorder="1" applyAlignment="1" applyProtection="1">
      <alignment horizontal="center" vertical="center"/>
      <protection hidden="1"/>
    </xf>
    <xf numFmtId="0" fontId="5" fillId="0" borderId="39" xfId="0" applyNumberFormat="1" applyFont="1" applyFill="1" applyBorder="1" applyAlignment="1" applyProtection="1">
      <alignment horizontal="center"/>
      <protection hidden="1"/>
    </xf>
    <xf numFmtId="0" fontId="5" fillId="0" borderId="39" xfId="0" applyNumberFormat="1" applyFont="1" applyFill="1" applyBorder="1" applyAlignment="1" applyProtection="1">
      <alignment horizontal="center" vertical="center"/>
      <protection hidden="1"/>
    </xf>
    <xf numFmtId="0" fontId="5" fillId="0" borderId="9" xfId="0" applyNumberFormat="1" applyFont="1" applyFill="1" applyBorder="1" applyAlignment="1" applyProtection="1">
      <alignment horizontal="center" vertical="center"/>
      <protection hidden="1"/>
    </xf>
    <xf numFmtId="0" fontId="37" fillId="9" borderId="40" xfId="0" applyNumberFormat="1" applyFont="1" applyFill="1" applyBorder="1" applyAlignment="1" applyProtection="1">
      <alignment horizontal="right"/>
      <protection hidden="1"/>
    </xf>
    <xf numFmtId="0" fontId="13" fillId="0" borderId="40" xfId="0" applyNumberFormat="1" applyFont="1" applyFill="1" applyBorder="1" applyAlignment="1" applyProtection="1">
      <alignment horizontal="center" vertical="center"/>
      <protection hidden="1"/>
    </xf>
    <xf numFmtId="0" fontId="5" fillId="0" borderId="4" xfId="0" applyNumberFormat="1" applyFont="1" applyFill="1" applyBorder="1" applyAlignment="1" applyProtection="1">
      <protection hidden="1"/>
    </xf>
    <xf numFmtId="0" fontId="39" fillId="10" borderId="40" xfId="0" applyNumberFormat="1" applyFont="1" applyFill="1" applyBorder="1" applyAlignment="1" applyProtection="1">
      <alignment horizontal="right"/>
      <protection hidden="1"/>
    </xf>
    <xf numFmtId="178" fontId="19" fillId="0" borderId="0" xfId="0" applyNumberFormat="1" applyFont="1" applyFill="1" applyBorder="1" applyAlignment="1" applyProtection="1">
      <protection hidden="1"/>
    </xf>
    <xf numFmtId="1" fontId="13" fillId="0" borderId="5" xfId="0" applyNumberFormat="1" applyFont="1" applyFill="1" applyBorder="1" applyAlignment="1" applyProtection="1">
      <alignment horizontal="center"/>
      <protection hidden="1"/>
    </xf>
    <xf numFmtId="2" fontId="5" fillId="0" borderId="6" xfId="0" applyNumberFormat="1" applyFont="1" applyFill="1" applyBorder="1" applyAlignment="1" applyProtection="1">
      <alignment horizontal="center"/>
      <protection hidden="1"/>
    </xf>
    <xf numFmtId="1" fontId="5" fillId="0" borderId="5" xfId="0" applyNumberFormat="1" applyFont="1" applyFill="1" applyBorder="1" applyAlignment="1" applyProtection="1">
      <alignment horizontal="center"/>
      <protection hidden="1"/>
    </xf>
    <xf numFmtId="0" fontId="37" fillId="9" borderId="41" xfId="0" applyNumberFormat="1" applyFont="1" applyFill="1" applyBorder="1" applyAlignment="1" applyProtection="1">
      <alignment horizontal="right"/>
      <protection hidden="1"/>
    </xf>
    <xf numFmtId="0" fontId="13" fillId="0" borderId="41" xfId="0" applyNumberFormat="1" applyFont="1" applyFill="1" applyBorder="1" applyAlignment="1" applyProtection="1">
      <alignment horizontal="center" vertical="center"/>
      <protection hidden="1"/>
    </xf>
    <xf numFmtId="2" fontId="13" fillId="0" borderId="6" xfId="0" applyNumberFormat="1" applyFont="1" applyFill="1" applyBorder="1" applyAlignment="1" applyProtection="1">
      <alignment horizontal="center"/>
      <protection hidden="1"/>
    </xf>
    <xf numFmtId="2" fontId="13" fillId="0" borderId="0" xfId="0" applyNumberFormat="1" applyFont="1" applyFill="1" applyBorder="1" applyAlignment="1" applyProtection="1">
      <alignment horizontal="center"/>
      <protection hidden="1"/>
    </xf>
    <xf numFmtId="0" fontId="4" fillId="0" borderId="10" xfId="0" applyNumberFormat="1" applyFont="1" applyFill="1" applyBorder="1" applyAlignment="1" applyProtection="1">
      <alignment horizontal="center"/>
      <protection hidden="1"/>
    </xf>
    <xf numFmtId="0" fontId="4" fillId="0" borderId="10" xfId="0" applyNumberFormat="1" applyFont="1" applyFill="1" applyBorder="1" applyAlignment="1" applyProtection="1">
      <alignment horizontal="center" vertical="center"/>
      <protection hidden="1"/>
    </xf>
    <xf numFmtId="178" fontId="4" fillId="0" borderId="10" xfId="0" applyNumberFormat="1" applyFont="1" applyFill="1" applyBorder="1" applyAlignment="1" applyProtection="1">
      <alignment horizontal="center"/>
      <protection hidden="1"/>
    </xf>
    <xf numFmtId="178" fontId="4" fillId="0" borderId="10" xfId="0" applyNumberFormat="1" applyFont="1" applyFill="1" applyBorder="1" applyAlignment="1" applyProtection="1">
      <alignment horizontal="center" vertical="center"/>
      <protection hidden="1"/>
    </xf>
    <xf numFmtId="0" fontId="19" fillId="0" borderId="0" xfId="0" applyNumberFormat="1" applyFont="1" applyFill="1" applyBorder="1" applyAlignment="1" applyProtection="1">
      <alignment horizontal="center" vertical="center"/>
      <protection hidden="1"/>
    </xf>
    <xf numFmtId="0" fontId="36" fillId="0" borderId="1" xfId="0" applyNumberFormat="1" applyFont="1" applyFill="1" applyBorder="1" applyAlignment="1" applyProtection="1">
      <alignment horizontal="centerContinuous"/>
      <protection hidden="1"/>
    </xf>
    <xf numFmtId="0" fontId="36" fillId="0" borderId="4" xfId="0" applyNumberFormat="1" applyFont="1" applyFill="1" applyBorder="1" applyAlignment="1" applyProtection="1">
      <alignment horizontal="center" vertical="center"/>
      <protection hidden="1"/>
    </xf>
    <xf numFmtId="2" fontId="4" fillId="0" borderId="5" xfId="0" applyNumberFormat="1" applyFont="1" applyFill="1" applyBorder="1" applyAlignment="1" applyProtection="1">
      <protection hidden="1"/>
    </xf>
    <xf numFmtId="178" fontId="4" fillId="0" borderId="7" xfId="0" applyNumberFormat="1" applyFont="1" applyFill="1" applyBorder="1" applyAlignment="1" applyProtection="1">
      <alignment horizontal="center" vertical="center"/>
      <protection hidden="1"/>
    </xf>
    <xf numFmtId="2" fontId="4" fillId="0" borderId="14" xfId="0" applyNumberFormat="1" applyFont="1" applyFill="1" applyBorder="1" applyAlignment="1" applyProtection="1">
      <protection hidden="1"/>
    </xf>
    <xf numFmtId="178" fontId="4" fillId="0" borderId="9" xfId="0" applyNumberFormat="1" applyFont="1" applyFill="1" applyBorder="1" applyAlignment="1" applyProtection="1">
      <alignment horizontal="center" vertical="center"/>
      <protection hidden="1"/>
    </xf>
    <xf numFmtId="0" fontId="4" fillId="0" borderId="1" xfId="0" applyNumberFormat="1" applyFont="1" applyFill="1" applyBorder="1" applyAlignment="1" applyProtection="1">
      <alignment horizontal="centerContinuous"/>
      <protection hidden="1"/>
    </xf>
    <xf numFmtId="0" fontId="4" fillId="0" borderId="2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NumberFormat="1" applyFont="1" applyFill="1" applyBorder="1" applyAlignment="1" applyProtection="1">
      <alignment horizontal="centerContinuous"/>
      <protection hidden="1"/>
    </xf>
    <xf numFmtId="0" fontId="4" fillId="0" borderId="4" xfId="0" applyNumberFormat="1" applyFont="1" applyFill="1" applyBorder="1" applyAlignment="1" applyProtection="1">
      <alignment horizontal="centerContinuous"/>
      <protection hidden="1"/>
    </xf>
    <xf numFmtId="0" fontId="4" fillId="0" borderId="5" xfId="0" applyNumberFormat="1" applyFont="1" applyFill="1" applyBorder="1" applyAlignment="1" applyProtection="1">
      <protection hidden="1"/>
    </xf>
    <xf numFmtId="0" fontId="4" fillId="0" borderId="0" xfId="0" applyNumberFormat="1" applyFont="1" applyFill="1" applyBorder="1" applyAlignment="1" applyProtection="1">
      <alignment horizontal="center"/>
      <protection hidden="1"/>
    </xf>
    <xf numFmtId="0" fontId="4" fillId="0" borderId="7" xfId="0" applyNumberFormat="1" applyFont="1" applyFill="1" applyBorder="1" applyAlignment="1" applyProtection="1">
      <alignment horizontal="center"/>
      <protection hidden="1"/>
    </xf>
    <xf numFmtId="0" fontId="4" fillId="0" borderId="14" xfId="0" applyNumberFormat="1" applyFont="1" applyFill="1" applyBorder="1" applyAlignment="1" applyProtection="1">
      <protection hidden="1"/>
    </xf>
    <xf numFmtId="0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8" xfId="0" applyNumberFormat="1" applyFont="1" applyFill="1" applyBorder="1" applyAlignment="1" applyProtection="1">
      <alignment horizontal="center"/>
      <protection hidden="1"/>
    </xf>
    <xf numFmtId="0" fontId="4" fillId="0" borderId="9" xfId="0" applyNumberFormat="1" applyFont="1" applyFill="1" applyBorder="1" applyAlignment="1" applyProtection="1">
      <alignment horizontal="center"/>
      <protection hidden="1"/>
    </xf>
    <xf numFmtId="0" fontId="5" fillId="0" borderId="2" xfId="0" applyNumberFormat="1" applyFont="1" applyFill="1" applyBorder="1" applyAlignment="1" applyProtection="1">
      <protection hidden="1"/>
    </xf>
    <xf numFmtId="0" fontId="25" fillId="0" borderId="2" xfId="0" applyNumberFormat="1" applyFont="1" applyFill="1" applyBorder="1" applyAlignment="1" applyProtection="1">
      <protection hidden="1"/>
    </xf>
    <xf numFmtId="0" fontId="5" fillId="0" borderId="42" xfId="0" applyNumberFormat="1" applyFont="1" applyFill="1" applyBorder="1" applyAlignment="1" applyProtection="1">
      <alignment horizontal="center"/>
      <protection hidden="1"/>
    </xf>
    <xf numFmtId="0" fontId="5" fillId="0" borderId="43" xfId="0" applyNumberFormat="1" applyFont="1" applyFill="1" applyBorder="1" applyAlignment="1" applyProtection="1">
      <alignment horizontal="center"/>
      <protection hidden="1"/>
    </xf>
    <xf numFmtId="0" fontId="5" fillId="0" borderId="43" xfId="0" applyNumberFormat="1" applyFont="1" applyFill="1" applyBorder="1" applyAlignment="1" applyProtection="1">
      <alignment horizontal="center"/>
      <protection hidden="1"/>
    </xf>
    <xf numFmtId="0" fontId="5" fillId="0" borderId="44" xfId="0" applyNumberFormat="1" applyFont="1" applyFill="1" applyBorder="1" applyAlignment="1" applyProtection="1">
      <alignment horizontal="center"/>
      <protection hidden="1"/>
    </xf>
    <xf numFmtId="0" fontId="5" fillId="0" borderId="44" xfId="0" applyNumberFormat="1" applyFont="1" applyFill="1" applyBorder="1" applyAlignment="1" applyProtection="1">
      <alignment horizontal="center" vertical="center"/>
      <protection hidden="1"/>
    </xf>
    <xf numFmtId="0" fontId="13" fillId="0" borderId="44" xfId="0" applyNumberFormat="1" applyFont="1" applyFill="1" applyBorder="1" applyAlignment="1" applyProtection="1">
      <alignment horizontal="center"/>
    </xf>
    <xf numFmtId="0" fontId="13" fillId="0" borderId="43" xfId="0" applyNumberFormat="1" applyFont="1" applyFill="1" applyBorder="1" applyAlignment="1" applyProtection="1">
      <alignment horizontal="center"/>
    </xf>
    <xf numFmtId="0" fontId="5" fillId="0" borderId="43" xfId="0" applyNumberFormat="1" applyFont="1" applyFill="1" applyBorder="1" applyAlignment="1" applyProtection="1">
      <alignment horizontal="center" vertical="center"/>
      <protection hidden="1"/>
    </xf>
    <xf numFmtId="2" fontId="5" fillId="0" borderId="5" xfId="0" applyNumberFormat="1" applyFont="1" applyFill="1" applyBorder="1" applyAlignment="1" applyProtection="1">
      <alignment horizontal="center"/>
      <protection hidden="1"/>
    </xf>
    <xf numFmtId="2" fontId="5" fillId="0" borderId="0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Border="1" applyAlignment="1" applyProtection="1">
      <alignment horizontal="center"/>
      <protection hidden="1"/>
    </xf>
    <xf numFmtId="0" fontId="4" fillId="0" borderId="6" xfId="0" applyNumberFormat="1" applyFont="1" applyFill="1" applyBorder="1" applyAlignment="1" applyProtection="1">
      <alignment horizontal="center"/>
      <protection hidden="1"/>
    </xf>
    <xf numFmtId="49" fontId="5" fillId="0" borderId="6" xfId="0" applyNumberFormat="1" applyFont="1" applyFill="1" applyBorder="1" applyAlignment="1" applyProtection="1">
      <alignment horizontal="center"/>
      <protection hidden="1"/>
    </xf>
    <xf numFmtId="0" fontId="19" fillId="0" borderId="14" xfId="0" applyNumberFormat="1" applyFont="1" applyFill="1" applyBorder="1" applyAlignment="1" applyProtection="1">
      <alignment horizontal="center"/>
      <protection hidden="1"/>
    </xf>
    <xf numFmtId="0" fontId="19" fillId="0" borderId="8" xfId="0" applyNumberFormat="1" applyFont="1" applyFill="1" applyBorder="1" applyAlignment="1" applyProtection="1">
      <alignment horizontal="center"/>
      <protection hidden="1"/>
    </xf>
    <xf numFmtId="0" fontId="19" fillId="0" borderId="8" xfId="0" applyNumberFormat="1" applyFont="1" applyFill="1" applyBorder="1" applyAlignment="1" applyProtection="1">
      <alignment horizontal="center"/>
      <protection hidden="1"/>
    </xf>
    <xf numFmtId="0" fontId="19" fillId="0" borderId="39" xfId="0" applyNumberFormat="1" applyFont="1" applyFill="1" applyBorder="1" applyAlignment="1" applyProtection="1">
      <alignment horizontal="center"/>
      <protection hidden="1"/>
    </xf>
    <xf numFmtId="0" fontId="19" fillId="0" borderId="39" xfId="0" applyNumberFormat="1" applyFont="1" applyFill="1" applyBorder="1" applyAlignment="1" applyProtection="1">
      <alignment horizontal="center" vertical="center"/>
    </xf>
    <xf numFmtId="0" fontId="5" fillId="0" borderId="39" xfId="0" applyNumberFormat="1" applyFont="1" applyFill="1" applyBorder="1" applyAlignment="1" applyProtection="1">
      <protection hidden="1"/>
    </xf>
    <xf numFmtId="0" fontId="19" fillId="0" borderId="8" xfId="0" applyNumberFormat="1" applyFont="1" applyFill="1" applyBorder="1" applyAlignment="1" applyProtection="1">
      <alignment horizontal="center" vertical="center"/>
      <protection hidden="1"/>
    </xf>
    <xf numFmtId="0" fontId="36" fillId="0" borderId="38" xfId="0" applyNumberFormat="1" applyFont="1" applyFill="1" applyBorder="1" applyAlignment="1" applyProtection="1">
      <protection hidden="1"/>
    </xf>
    <xf numFmtId="0" fontId="36" fillId="0" borderId="0" xfId="0" applyNumberFormat="1" applyFont="1" applyFill="1" applyBorder="1" applyAlignment="1" applyProtection="1">
      <protection hidden="1"/>
    </xf>
    <xf numFmtId="0" fontId="36" fillId="0" borderId="0" xfId="0" applyNumberFormat="1" applyFont="1" applyFill="1" applyBorder="1" applyAlignment="1" applyProtection="1">
      <protection hidden="1"/>
    </xf>
    <xf numFmtId="2" fontId="4" fillId="0" borderId="40" xfId="0" applyNumberFormat="1" applyFont="1" applyFill="1" applyBorder="1" applyAlignment="1" applyProtection="1">
      <protection hidden="1"/>
    </xf>
    <xf numFmtId="2" fontId="4" fillId="0" borderId="0" xfId="0" applyNumberFormat="1" applyFont="1" applyFill="1" applyBorder="1" applyAlignment="1" applyProtection="1">
      <protection hidden="1"/>
    </xf>
    <xf numFmtId="2" fontId="4" fillId="0" borderId="0" xfId="0" applyNumberFormat="1" applyFont="1" applyFill="1" applyBorder="1" applyAlignment="1" applyProtection="1">
      <protection hidden="1"/>
    </xf>
    <xf numFmtId="178" fontId="4" fillId="0" borderId="41" xfId="0" applyNumberFormat="1" applyFont="1" applyFill="1" applyBorder="1" applyAlignment="1" applyProtection="1">
      <protection hidden="1"/>
    </xf>
    <xf numFmtId="178" fontId="4" fillId="0" borderId="0" xfId="0" applyNumberFormat="1" applyFont="1" applyFill="1" applyBorder="1" applyAlignment="1" applyProtection="1">
      <protection hidden="1"/>
    </xf>
    <xf numFmtId="178" fontId="4" fillId="0" borderId="0" xfId="0" applyNumberFormat="1" applyFont="1" applyFill="1" applyBorder="1" applyAlignment="1" applyProtection="1">
      <protection hidden="1"/>
    </xf>
    <xf numFmtId="2" fontId="4" fillId="0" borderId="1" xfId="0" applyNumberFormat="1" applyFont="1" applyFill="1" applyBorder="1" applyAlignment="1" applyProtection="1">
      <alignment horizontal="right"/>
      <protection hidden="1"/>
    </xf>
    <xf numFmtId="2" fontId="4" fillId="0" borderId="2" xfId="0" applyNumberFormat="1" applyFont="1" applyFill="1" applyBorder="1" applyAlignment="1" applyProtection="1">
      <alignment horizontal="right"/>
      <protection hidden="1"/>
    </xf>
    <xf numFmtId="2" fontId="4" fillId="0" borderId="2" xfId="0" applyNumberFormat="1" applyFont="1" applyFill="1" applyBorder="1" applyAlignment="1" applyProtection="1">
      <alignment horizontal="right"/>
      <protection hidden="1"/>
    </xf>
    <xf numFmtId="2" fontId="4" fillId="0" borderId="4" xfId="0" applyNumberFormat="1" applyFont="1" applyFill="1" applyBorder="1" applyAlignment="1" applyProtection="1">
      <alignment horizontal="right"/>
      <protection hidden="1"/>
    </xf>
    <xf numFmtId="2" fontId="4" fillId="0" borderId="5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2" fontId="4" fillId="0" borderId="7" xfId="0" applyNumberFormat="1" applyFont="1" applyFill="1" applyBorder="1" applyAlignment="1" applyProtection="1">
      <alignment horizontal="right"/>
      <protection hidden="1"/>
    </xf>
    <xf numFmtId="0" fontId="36" fillId="0" borderId="14" xfId="0" applyNumberFormat="1" applyFont="1" applyFill="1" applyBorder="1" applyAlignment="1" applyProtection="1">
      <protection hidden="1"/>
    </xf>
    <xf numFmtId="0" fontId="36" fillId="0" borderId="8" xfId="0" applyNumberFormat="1" applyFont="1" applyFill="1" applyBorder="1" applyAlignment="1" applyProtection="1">
      <protection hidden="1"/>
    </xf>
    <xf numFmtId="0" fontId="36" fillId="0" borderId="8" xfId="0" applyNumberFormat="1" applyFont="1" applyFill="1" applyBorder="1" applyAlignment="1" applyProtection="1">
      <protection hidden="1"/>
    </xf>
    <xf numFmtId="0" fontId="12" fillId="0" borderId="0" xfId="0" applyNumberFormat="1" applyFont="1" applyFill="1" applyBorder="1" applyAlignment="1" applyProtection="1">
      <alignment horizontal="left" vertical="center"/>
      <protection hidden="1"/>
    </xf>
    <xf numFmtId="178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NumberFormat="1" applyFont="1" applyFill="1" applyBorder="1" applyAlignment="1" applyProtection="1">
      <alignment horizontal="center" vertical="center"/>
      <protection hidden="1"/>
    </xf>
    <xf numFmtId="178" fontId="12" fillId="0" borderId="0" xfId="0" applyNumberFormat="1" applyFont="1" applyFill="1" applyBorder="1" applyAlignment="1" applyProtection="1">
      <alignment horizontal="left" vertical="center"/>
      <protection hidden="1"/>
    </xf>
    <xf numFmtId="0" fontId="10" fillId="0" borderId="0" xfId="0" applyNumberFormat="1" applyFont="1" applyFill="1" applyBorder="1" applyAlignment="1" applyProtection="1">
      <alignment horizontal="left" vertical="center"/>
      <protection hidden="1"/>
    </xf>
    <xf numFmtId="0" fontId="11" fillId="2" borderId="2" xfId="0" applyNumberFormat="1" applyFont="1" applyFill="1" applyBorder="1" applyAlignment="1" applyProtection="1">
      <alignment horizontal="left" vertical="center" wrapText="1"/>
      <protection hidden="1"/>
    </xf>
    <xf numFmtId="0" fontId="31" fillId="2" borderId="10" xfId="0" applyNumberFormat="1" applyFont="1" applyFill="1" applyBorder="1" applyAlignment="1" applyProtection="1">
      <alignment horizontal="center" vertical="center"/>
      <protection locked="0" hidden="1"/>
    </xf>
    <xf numFmtId="1" fontId="12" fillId="2" borderId="13" xfId="0" applyNumberFormat="1" applyFont="1" applyFill="1" applyBorder="1" applyAlignment="1" applyProtection="1">
      <alignment horizontal="center" vertical="center"/>
      <protection hidden="1"/>
    </xf>
    <xf numFmtId="0" fontId="12" fillId="2" borderId="16" xfId="0" applyNumberFormat="1" applyFont="1" applyFill="1" applyBorder="1" applyAlignment="1" applyProtection="1">
      <alignment horizontal="center" vertical="center"/>
      <protection locked="0"/>
    </xf>
    <xf numFmtId="0" fontId="12" fillId="2" borderId="10" xfId="0" applyNumberFormat="1" applyFont="1" applyFill="1" applyBorder="1" applyAlignment="1" applyProtection="1">
      <alignment horizontal="left" vertical="center"/>
      <protection hidden="1"/>
    </xf>
    <xf numFmtId="0" fontId="6" fillId="2" borderId="24" xfId="0" applyNumberFormat="1" applyFont="1" applyFill="1" applyBorder="1" applyAlignment="1" applyProtection="1">
      <alignment horizontal="center" vertical="center" wrapText="1"/>
      <protection hidden="1"/>
    </xf>
    <xf numFmtId="0" fontId="6" fillId="2" borderId="10" xfId="0" applyNumberFormat="1" applyFont="1" applyFill="1" applyBorder="1" applyAlignment="1" applyProtection="1">
      <alignment horizontal="center" vertical="center" wrapText="1"/>
      <protection hidden="1"/>
    </xf>
    <xf numFmtId="184" fontId="30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12" fillId="2" borderId="10" xfId="0" applyNumberFormat="1" applyFont="1" applyFill="1" applyBorder="1" applyAlignment="1" applyProtection="1">
      <alignment horizontal="left" vertical="center" wrapText="1"/>
      <protection hidden="1"/>
    </xf>
    <xf numFmtId="179" fontId="10" fillId="0" borderId="10" xfId="0" applyNumberFormat="1" applyFont="1" applyFill="1" applyBorder="1" applyAlignment="1" applyProtection="1">
      <alignment horizontal="left" vertical="center"/>
    </xf>
    <xf numFmtId="179" fontId="10" fillId="0" borderId="10" xfId="0" applyNumberFormat="1" applyFont="1" applyFill="1" applyBorder="1" applyAlignment="1" applyProtection="1">
      <alignment vertical="center"/>
      <protection hidden="1"/>
    </xf>
    <xf numFmtId="179" fontId="23" fillId="0" borderId="10" xfId="0" applyNumberFormat="1" applyFont="1" applyFill="1" applyBorder="1" applyAlignment="1" applyProtection="1">
      <alignment vertical="center"/>
      <protection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5B9B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7722582035489"/>
          <c:y val="0.0494149982539136"/>
          <c:w val="0.880856760374833"/>
          <c:h val="0.852925243770314"/>
        </c:manualLayout>
      </c:layout>
      <c:scatterChart>
        <c:scatterStyle val="line"/>
        <c:varyColors val="0"/>
        <c:ser>
          <c:idx val="1"/>
          <c:order val="0"/>
          <c:marker>
            <c:symbol val="none"/>
          </c:marker>
          <c:dLbls>
            <c:delete val="1"/>
          </c:dLbls>
          <c:xVal>
            <c:numRef>
              <c:f>碟簧设计!$D$32:$M$32</c:f>
              <c:numCache>
                <c:formatCode>0.0_ </c:formatCode>
                <c:ptCount val="10"/>
                <c:pt idx="0">
                  <c:v>0</c:v>
                </c:pt>
                <c:pt idx="1">
                  <c:v>0.077</c:v>
                </c:pt>
                <c:pt idx="2" c:formatCode="0.000_ ">
                  <c:v>0.153615</c:v>
                </c:pt>
                <c:pt idx="3">
                  <c:v>0.231</c:v>
                </c:pt>
                <c:pt idx="4" c:formatCode="0.00_ ">
                  <c:v>0.308</c:v>
                </c:pt>
                <c:pt idx="5" c:formatCode="0.00_ ">
                  <c:v>0.385</c:v>
                </c:pt>
                <c:pt idx="6" c:formatCode="0.00_ ">
                  <c:v>0.462</c:v>
                </c:pt>
                <c:pt idx="7">
                  <c:v>0.616</c:v>
                </c:pt>
                <c:pt idx="8">
                  <c:v>0.693</c:v>
                </c:pt>
                <c:pt idx="9">
                  <c:v>0.77</c:v>
                </c:pt>
              </c:numCache>
            </c:numRef>
          </c:xVal>
          <c:yVal>
            <c:numRef>
              <c:f>碟簧设计!$D$34:$M$34</c:f>
              <c:numCache>
                <c:formatCode>0.0_ </c:formatCode>
                <c:ptCount val="10"/>
                <c:pt idx="0">
                  <c:v>0</c:v>
                </c:pt>
                <c:pt idx="1" c:formatCode="0_ ">
                  <c:v>632.480146613441</c:v>
                </c:pt>
                <c:pt idx="2" c:formatCode="0_ ">
                  <c:v>1225.34073081585</c:v>
                </c:pt>
                <c:pt idx="3" c:formatCode="0_ ">
                  <c:v>1791.34486011544</c:v>
                </c:pt>
                <c:pt idx="4" c:formatCode="0_ ">
                  <c:v>2325.89062544437</c:v>
                </c:pt>
                <c:pt idx="5" c:formatCode="0_ ">
                  <c:v>2835.95279545217</c:v>
                </c:pt>
                <c:pt idx="6" c:formatCode="0_ ">
                  <c:v>3325.61196935903</c:v>
                </c:pt>
                <c:pt idx="7" c:formatCode="0_ ">
                  <c:v>4260.04372575068</c:v>
                </c:pt>
                <c:pt idx="8" c:formatCode="0_ ">
                  <c:v>4712.97750667585</c:v>
                </c:pt>
                <c:pt idx="9" c:formatCode="0_ ">
                  <c:v>5161.83068838083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62048"/>
        <c:axId val="206564352"/>
      </c:scatterChart>
      <c:valAx>
        <c:axId val="20656204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000000">
                  <a:alpha val="100000"/>
                </a:srgbClr>
              </a:solidFill>
              <a:prstDash val="solid"/>
              <a:round/>
            </a:ln>
          </c:spPr>
        </c:majorGridlines>
        <c:minorGridlines>
          <c:spPr>
            <a:ln w="3175" cap="flat" cmpd="sng" algn="ctr">
              <a:solidFill>
                <a:srgbClr val="000000">
                  <a:alpha val="100000"/>
                </a:srgbClr>
              </a:solidFill>
              <a:prstDash val="solid"/>
              <a:round/>
            </a:ln>
          </c:spPr>
        </c:minorGridlines>
        <c:numFmt formatCode="0.00" sourceLinked="0"/>
        <c:majorTickMark val="none"/>
        <c:minorTickMark val="none"/>
        <c:tickLblPos val="low"/>
        <c:spPr>
          <a:ln w="12700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Times New Roman" panose="02020603050405020304" pitchFamily="1" charset="0"/>
                <a:ea typeface="Times New Roman" panose="02020603050405020304" pitchFamily="1" charset="0"/>
                <a:cs typeface="Times New Roman" panose="02020603050405020304" pitchFamily="1" charset="0"/>
              </a:defRPr>
            </a:pPr>
          </a:p>
        </c:txPr>
        <c:crossAx val="206564352"/>
        <c:crosses val="autoZero"/>
        <c:crossBetween val="midCat"/>
      </c:valAx>
      <c:valAx>
        <c:axId val="20656435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000000">
                  <a:alpha val="100000"/>
                </a:srgbClr>
              </a:solidFill>
              <a:prstDash val="solid"/>
              <a:round/>
            </a:ln>
          </c:spPr>
        </c:majorGridlines>
        <c:numFmt formatCode="0.0_ " sourceLinked="1"/>
        <c:majorTickMark val="none"/>
        <c:minorTickMark val="none"/>
        <c:tickLblPos val="low"/>
        <c:spPr>
          <a:ln w="12700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Times New Roman" panose="02020603050405020304" pitchFamily="1" charset="0"/>
                <a:ea typeface="Times New Roman" panose="02020603050405020304" pitchFamily="1" charset="0"/>
                <a:cs typeface="Times New Roman" panose="02020603050405020304" pitchFamily="1" charset="0"/>
              </a:defRPr>
            </a:pPr>
          </a:p>
        </c:txPr>
        <c:crossAx val="206562048"/>
        <c:crosses val="autoZero"/>
        <c:crossBetween val="midCat"/>
      </c:valAx>
      <c:spPr>
        <a:noFill/>
        <a:ln w="3175">
          <a:noFill/>
        </a:ln>
      </c:spPr>
    </c:plotArea>
    <c:plotVisOnly val="0"/>
    <c:dispBlanksAs val="gap"/>
    <c:showDLblsOverMax val="0"/>
    <c:extLst>
      <c:ext uri="{0b15fc19-7d7d-44ad-8c2d-2c3a37ce22c3}">
        <chartProps xmlns="https://web.wps.cn/et/2018/main" chartId="{34e7007c-f333-4c73-805e-074dbba5d2f7}"/>
      </c:ext>
    </c:extLst>
  </c:chart>
  <c:spPr>
    <a:noFill/>
    <a:ln w="6350" cap="flat" cmpd="sng" algn="ctr">
      <a:noFill/>
      <a:prstDash val="solid"/>
      <a:round/>
    </a:ln>
  </c:spPr>
  <c:txPr>
    <a:bodyPr rot="0" wrap="square" anchor="ctr" anchorCtr="1"/>
    <a:lstStyle/>
    <a:p>
      <a:pPr>
        <a:defRPr lang="zh-CN" sz="1000" b="0" i="0" u="none" strike="noStrike" baseline="0">
          <a:solidFill>
            <a:srgbClr val="000000"/>
          </a:solidFill>
          <a:latin typeface="Arial" panose="020B0604020202020204" charset="-122"/>
          <a:ea typeface="Arial" panose="020B0604020202020204" charset="-122"/>
          <a:cs typeface="Arial" panose="020B0604020202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xVal>
            <c:numRef>
              <c:f>碟簧设计!$I$62:$I$64</c:f>
              <c:numCache>
                <c:formatCode>General</c:formatCode>
                <c:ptCount val="3"/>
                <c:pt idx="0">
                  <c:v>0.15</c:v>
                </c:pt>
                <c:pt idx="1">
                  <c:v>0.4</c:v>
                </c:pt>
                <c:pt idx="2">
                  <c:v>0.8</c:v>
                </c:pt>
              </c:numCache>
            </c:numRef>
          </c:xVal>
          <c:yVal>
            <c:numRef>
              <c:f>碟簧设计!$J$62:$J$64</c:f>
              <c:numCache>
                <c:formatCode>General</c:formatCode>
                <c:ptCount val="3"/>
                <c:pt idx="0">
                  <c:v>150</c:v>
                </c:pt>
                <c:pt idx="1">
                  <c:v>400</c:v>
                </c:pt>
                <c:pt idx="2">
                  <c:v>750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8541406"/>
        <c:axId val="335231178"/>
      </c:scatterChart>
      <c:valAx>
        <c:axId val="87854140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35231178"/>
        <c:crosses val="autoZero"/>
        <c:crossBetween val="midCat"/>
      </c:valAx>
      <c:valAx>
        <c:axId val="33523117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7854140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f840044d-50cd-44b8-bdf3-5b53692ebeb9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7722582035489"/>
          <c:y val="0.0494149982539136"/>
          <c:w val="0.880856760374833"/>
          <c:h val="0.852925243770314"/>
        </c:manualLayout>
      </c:layout>
      <c:scatterChart>
        <c:scatterStyle val="line"/>
        <c:varyColors val="0"/>
        <c:ser>
          <c:idx val="1"/>
          <c:order val="0"/>
          <c:marker>
            <c:symbol val="none"/>
          </c:marker>
          <c:dLbls>
            <c:delete val="1"/>
          </c:dLbls>
          <c:xVal>
            <c:numRef>
              <c:f>碟簧设计!$D$32:$M$32</c:f>
              <c:numCache>
                <c:formatCode>0.0_ </c:formatCode>
                <c:ptCount val="10"/>
                <c:pt idx="0">
                  <c:v>0</c:v>
                </c:pt>
                <c:pt idx="1">
                  <c:v>0.077</c:v>
                </c:pt>
                <c:pt idx="2" c:formatCode="0.000_ ">
                  <c:v>0.153615</c:v>
                </c:pt>
                <c:pt idx="3">
                  <c:v>0.231</c:v>
                </c:pt>
                <c:pt idx="4" c:formatCode="0.00_ ">
                  <c:v>0.308</c:v>
                </c:pt>
                <c:pt idx="5" c:formatCode="0.00_ ">
                  <c:v>0.385</c:v>
                </c:pt>
                <c:pt idx="6" c:formatCode="0.00_ ">
                  <c:v>0.462</c:v>
                </c:pt>
                <c:pt idx="7">
                  <c:v>0.616</c:v>
                </c:pt>
                <c:pt idx="8">
                  <c:v>0.693</c:v>
                </c:pt>
                <c:pt idx="9">
                  <c:v>0.77</c:v>
                </c:pt>
              </c:numCache>
            </c:numRef>
          </c:xVal>
          <c:yVal>
            <c:numRef>
              <c:f>碟簧设计!$D$34:$M$34</c:f>
              <c:numCache>
                <c:formatCode>0.0_ </c:formatCode>
                <c:ptCount val="10"/>
                <c:pt idx="0">
                  <c:v>0</c:v>
                </c:pt>
                <c:pt idx="1" c:formatCode="0_ ">
                  <c:v>632.480146613441</c:v>
                </c:pt>
                <c:pt idx="2" c:formatCode="0_ ">
                  <c:v>1225.34073081585</c:v>
                </c:pt>
                <c:pt idx="3" c:formatCode="0_ ">
                  <c:v>1791.34486011544</c:v>
                </c:pt>
                <c:pt idx="4" c:formatCode="0_ ">
                  <c:v>2325.89062544437</c:v>
                </c:pt>
                <c:pt idx="5" c:formatCode="0_ ">
                  <c:v>2835.95279545217</c:v>
                </c:pt>
                <c:pt idx="6" c:formatCode="0_ ">
                  <c:v>3325.61196935903</c:v>
                </c:pt>
                <c:pt idx="7" c:formatCode="0_ ">
                  <c:v>4260.04372575068</c:v>
                </c:pt>
                <c:pt idx="8" c:formatCode="0_ ">
                  <c:v>4712.97750667585</c:v>
                </c:pt>
                <c:pt idx="9" c:formatCode="0_ ">
                  <c:v>5161.83068838083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62048"/>
        <c:axId val="206564352"/>
      </c:scatterChart>
      <c:valAx>
        <c:axId val="20656204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000000">
                  <a:alpha val="100000"/>
                </a:srgbClr>
              </a:solidFill>
              <a:prstDash val="solid"/>
              <a:round/>
            </a:ln>
          </c:spPr>
        </c:majorGridlines>
        <c:minorGridlines>
          <c:spPr>
            <a:ln w="3175" cap="flat" cmpd="sng" algn="ctr">
              <a:solidFill>
                <a:srgbClr val="000000">
                  <a:alpha val="100000"/>
                </a:srgbClr>
              </a:solidFill>
              <a:prstDash val="solid"/>
              <a:round/>
            </a:ln>
          </c:spPr>
        </c:minorGridlines>
        <c:numFmt formatCode="0.00" sourceLinked="0"/>
        <c:majorTickMark val="none"/>
        <c:minorTickMark val="none"/>
        <c:tickLblPos val="low"/>
        <c:spPr>
          <a:ln w="12700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Times New Roman" panose="02020603050405020304" pitchFamily="1" charset="0"/>
                <a:ea typeface="Times New Roman" panose="02020603050405020304" pitchFamily="1" charset="0"/>
                <a:cs typeface="Times New Roman" panose="02020603050405020304" pitchFamily="1" charset="0"/>
              </a:defRPr>
            </a:pPr>
          </a:p>
        </c:txPr>
        <c:crossAx val="206564352"/>
        <c:crosses val="autoZero"/>
        <c:crossBetween val="midCat"/>
      </c:valAx>
      <c:valAx>
        <c:axId val="20656435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000000">
                  <a:alpha val="100000"/>
                </a:srgbClr>
              </a:solidFill>
              <a:prstDash val="solid"/>
              <a:round/>
            </a:ln>
          </c:spPr>
        </c:majorGridlines>
        <c:numFmt formatCode="0.0_ " sourceLinked="1"/>
        <c:majorTickMark val="none"/>
        <c:minorTickMark val="none"/>
        <c:tickLblPos val="low"/>
        <c:spPr>
          <a:ln w="12700" cap="flat" cmpd="sng" algn="ctr">
            <a:solidFill>
              <a:srgbClr val="000000">
                <a:alpha val="100000"/>
              </a:srgbClr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rgbClr val="000000"/>
                </a:solidFill>
                <a:latin typeface="Times New Roman" panose="02020603050405020304" pitchFamily="1" charset="0"/>
                <a:ea typeface="Times New Roman" panose="02020603050405020304" pitchFamily="1" charset="0"/>
                <a:cs typeface="Times New Roman" panose="02020603050405020304" pitchFamily="1" charset="0"/>
              </a:defRPr>
            </a:pPr>
          </a:p>
        </c:txPr>
        <c:crossAx val="206562048"/>
        <c:crosses val="autoZero"/>
        <c:crossBetween val="midCat"/>
      </c:valAx>
      <c:spPr>
        <a:noFill/>
        <a:ln w="3175">
          <a:noFill/>
        </a:ln>
      </c:spPr>
    </c:plotArea>
    <c:plotVisOnly val="0"/>
    <c:dispBlanksAs val="gap"/>
    <c:showDLblsOverMax val="0"/>
    <c:extLst>
      <c:ext uri="{0b15fc19-7d7d-44ad-8c2d-2c3a37ce22c3}">
        <chartProps xmlns="https://web.wps.cn/et/2018/main" chartId="{34e7007c-f333-4c73-805e-074dbba5d2f7}"/>
      </c:ext>
    </c:extLst>
  </c:chart>
  <c:spPr>
    <a:noFill/>
    <a:ln w="6350" cap="flat" cmpd="sng" algn="ctr">
      <a:noFill/>
      <a:prstDash val="solid"/>
      <a:round/>
    </a:ln>
  </c:spPr>
  <c:txPr>
    <a:bodyPr rot="0" wrap="square" anchor="ctr" anchorCtr="1"/>
    <a:lstStyle/>
    <a:p>
      <a:pPr>
        <a:defRPr lang="zh-CN" sz="1000" b="0" i="0" u="none" strike="noStrike" baseline="0">
          <a:solidFill>
            <a:srgbClr val="000000"/>
          </a:solidFill>
          <a:latin typeface="Arial" panose="020B0604020202020204" charset="-122"/>
          <a:ea typeface="Arial" panose="020B0604020202020204" charset="-122"/>
          <a:cs typeface="Arial" panose="020B0604020202020204" charset="-122"/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xVal>
            <c:numRef>
              <c:f>碟簧设计!$I$62:$I$64</c:f>
              <c:numCache>
                <c:formatCode>General</c:formatCode>
                <c:ptCount val="3"/>
                <c:pt idx="0">
                  <c:v>0.15</c:v>
                </c:pt>
                <c:pt idx="1">
                  <c:v>0.4</c:v>
                </c:pt>
                <c:pt idx="2">
                  <c:v>0.8</c:v>
                </c:pt>
              </c:numCache>
            </c:numRef>
          </c:xVal>
          <c:yVal>
            <c:numRef>
              <c:f>碟簧设计!$J$62:$J$64</c:f>
              <c:numCache>
                <c:formatCode>General</c:formatCode>
                <c:ptCount val="3"/>
                <c:pt idx="0">
                  <c:v>150</c:v>
                </c:pt>
                <c:pt idx="1">
                  <c:v>400</c:v>
                </c:pt>
                <c:pt idx="2">
                  <c:v>750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8541406"/>
        <c:axId val="335231178"/>
      </c:scatterChart>
      <c:valAx>
        <c:axId val="87854140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35231178"/>
        <c:crosses val="autoZero"/>
        <c:crossBetween val="midCat"/>
      </c:valAx>
      <c:valAx>
        <c:axId val="33523117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7854140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f840044d-50cd-44b8-bdf3-5b53692ebeb9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2.png"/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2.png"/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487680</xdr:colOff>
      <xdr:row>13</xdr:row>
      <xdr:rowOff>17780</xdr:rowOff>
    </xdr:from>
    <xdr:to>
      <xdr:col>12</xdr:col>
      <xdr:colOff>683260</xdr:colOff>
      <xdr:row>26</xdr:row>
      <xdr:rowOff>247015</xdr:rowOff>
    </xdr:to>
    <xdr:graphicFrame>
      <xdr:nvGraphicFramePr>
        <xdr:cNvPr id="4" name="Chart 1"/>
        <xdr:cNvGraphicFramePr/>
      </xdr:nvGraphicFramePr>
      <xdr:xfrm>
        <a:off x="6896100" y="5078730"/>
        <a:ext cx="6621145" cy="66535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257175</xdr:colOff>
      <xdr:row>6</xdr:row>
      <xdr:rowOff>153670</xdr:rowOff>
    </xdr:from>
    <xdr:to>
      <xdr:col>12</xdr:col>
      <xdr:colOff>191861</xdr:colOff>
      <xdr:row>11</xdr:row>
      <xdr:rowOff>313145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665595" y="2376170"/>
          <a:ext cx="6360160" cy="216535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</xdr:row>
      <xdr:rowOff>252730</xdr:rowOff>
    </xdr:from>
    <xdr:to>
      <xdr:col>3</xdr:col>
      <xdr:colOff>23495</xdr:colOff>
      <xdr:row>4</xdr:row>
      <xdr:rowOff>163195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23645" y="913130"/>
          <a:ext cx="2048510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209550</xdr:colOff>
      <xdr:row>48</xdr:row>
      <xdr:rowOff>120650</xdr:rowOff>
    </xdr:from>
    <xdr:to>
      <xdr:col>22</xdr:col>
      <xdr:colOff>20320</xdr:colOff>
      <xdr:row>64</xdr:row>
      <xdr:rowOff>215265</xdr:rowOff>
    </xdr:to>
    <xdr:graphicFrame>
      <xdr:nvGraphicFramePr>
        <xdr:cNvPr id="3" name="图表 2"/>
        <xdr:cNvGraphicFramePr/>
      </xdr:nvGraphicFramePr>
      <xdr:xfrm>
        <a:off x="10977880" y="18559780"/>
        <a:ext cx="8548370" cy="37522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487680</xdr:colOff>
      <xdr:row>13</xdr:row>
      <xdr:rowOff>17780</xdr:rowOff>
    </xdr:from>
    <xdr:to>
      <xdr:col>15</xdr:col>
      <xdr:colOff>683260</xdr:colOff>
      <xdr:row>26</xdr:row>
      <xdr:rowOff>247015</xdr:rowOff>
    </xdr:to>
    <xdr:graphicFrame>
      <xdr:nvGraphicFramePr>
        <xdr:cNvPr id="2" name="Chart 1"/>
        <xdr:cNvGraphicFramePr/>
      </xdr:nvGraphicFramePr>
      <xdr:xfrm>
        <a:off x="10795000" y="5078730"/>
        <a:ext cx="6621145" cy="66535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257175</xdr:colOff>
      <xdr:row>6</xdr:row>
      <xdr:rowOff>153670</xdr:rowOff>
    </xdr:from>
    <xdr:to>
      <xdr:col>15</xdr:col>
      <xdr:colOff>191770</xdr:colOff>
      <xdr:row>11</xdr:row>
      <xdr:rowOff>313055</xdr:rowOff>
    </xdr:to>
    <xdr:pic>
      <xdr:nvPicPr>
        <xdr:cNvPr id="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564495" y="2376170"/>
          <a:ext cx="6360160" cy="2165350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2</xdr:row>
      <xdr:rowOff>252730</xdr:rowOff>
    </xdr:from>
    <xdr:to>
      <xdr:col>3</xdr:col>
      <xdr:colOff>650875</xdr:colOff>
      <xdr:row>4</xdr:row>
      <xdr:rowOff>163195</xdr:rowOff>
    </xdr:to>
    <xdr:pic>
      <xdr:nvPicPr>
        <xdr:cNvPr id="4" name="图片 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23645" y="913130"/>
          <a:ext cx="2048510" cy="591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13</xdr:col>
      <xdr:colOff>209550</xdr:colOff>
      <xdr:row>48</xdr:row>
      <xdr:rowOff>120650</xdr:rowOff>
    </xdr:from>
    <xdr:to>
      <xdr:col>25</xdr:col>
      <xdr:colOff>20320</xdr:colOff>
      <xdr:row>64</xdr:row>
      <xdr:rowOff>215265</xdr:rowOff>
    </xdr:to>
    <xdr:graphicFrame>
      <xdr:nvGraphicFramePr>
        <xdr:cNvPr id="5" name="图表 4"/>
        <xdr:cNvGraphicFramePr/>
      </xdr:nvGraphicFramePr>
      <xdr:xfrm>
        <a:off x="14876780" y="18559780"/>
        <a:ext cx="8548370" cy="37522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384"/>
  <sheetViews>
    <sheetView tabSelected="1" zoomScale="70" zoomScaleNormal="70" topLeftCell="A19" workbookViewId="0">
      <selection activeCell="T27" sqref="T27"/>
    </sheetView>
  </sheetViews>
  <sheetFormatPr defaultColWidth="9" defaultRowHeight="18"/>
  <cols>
    <col min="2" max="2" width="5.6" customWidth="1"/>
    <col min="3" max="3" width="28.0333333333333" customWidth="1"/>
    <col min="4" max="4" width="12.575" customWidth="1"/>
    <col min="5" max="5" width="14.6666666666667" style="1" customWidth="1"/>
    <col min="6" max="6" width="14.225" customWidth="1"/>
    <col min="7" max="7" width="15.4416666666667" customWidth="1"/>
    <col min="8" max="9" width="13.775" customWidth="1"/>
    <col min="10" max="10" width="14.225" customWidth="1"/>
    <col min="11" max="11" width="14.1083333333333" customWidth="1"/>
    <col min="12" max="12" width="13" customWidth="1"/>
    <col min="13" max="13" width="13.1833333333333" customWidth="1"/>
    <col min="14" max="19" width="5.60833333333333" customWidth="1"/>
    <col min="20" max="20" width="8.91666666666667" style="1" customWidth="1"/>
    <col min="21" max="21" width="14.9166666666667" customWidth="1"/>
    <col min="22" max="22" width="16.8916666666667" style="1" customWidth="1"/>
    <col min="23" max="23" width="20.6" style="1" customWidth="1"/>
    <col min="24" max="24" width="16.6666666666667" style="1" customWidth="1"/>
    <col min="25" max="25" width="13.9333333333333" style="1" customWidth="1"/>
    <col min="26" max="26" width="9.53333333333333" style="1" customWidth="1"/>
    <col min="27" max="27" width="20.15" style="1" customWidth="1"/>
    <col min="28" max="28" width="12.8916666666667" style="1" customWidth="1"/>
    <col min="29" max="29" width="15.4" style="2" customWidth="1"/>
    <col min="30" max="30" width="18.0916666666667" style="1" customWidth="1"/>
    <col min="31" max="31" width="13.925" style="3" customWidth="1"/>
    <col min="34" max="34" width="12.6666666666667"/>
    <col min="35" max="35" width="14.1666666666667" style="4"/>
  </cols>
  <sheetData>
    <row r="1" ht="22" customHeight="1"/>
    <row r="2" ht="30" customHeight="1" spans="1:35">
      <c r="A2" s="5"/>
      <c r="B2" s="6"/>
      <c r="C2" s="6"/>
      <c r="D2" s="6"/>
      <c r="E2" s="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8"/>
      <c r="U2" s="9"/>
      <c r="V2" s="10">
        <v>15</v>
      </c>
      <c r="W2" s="10">
        <f>E14*1.15</f>
        <v>4635.38713682285</v>
      </c>
      <c r="X2" s="10"/>
      <c r="Y2" s="10"/>
      <c r="Z2" s="10"/>
      <c r="AA2" s="10"/>
    </row>
    <row r="3" ht="24.6" customHeight="1" spans="1:35">
      <c r="A3" s="5"/>
      <c r="B3" s="6"/>
      <c r="C3" s="11"/>
      <c r="D3" s="13"/>
      <c r="E3" s="14" t="s">
        <v>0</v>
      </c>
      <c r="F3" s="15"/>
      <c r="G3" s="15"/>
      <c r="H3" s="15"/>
      <c r="I3" s="15"/>
      <c r="J3" s="15"/>
      <c r="K3" s="15"/>
      <c r="L3" s="15"/>
      <c r="M3" s="16"/>
      <c r="N3" s="17"/>
      <c r="O3" s="17"/>
      <c r="P3" s="17"/>
      <c r="Q3" s="17"/>
      <c r="R3" s="17"/>
      <c r="S3" s="17"/>
      <c r="T3" s="8"/>
      <c r="U3" s="9"/>
      <c r="V3" s="10">
        <v>7.5</v>
      </c>
      <c r="W3" s="10">
        <f>E14*0.925</f>
        <v>3728.4635665749</v>
      </c>
      <c r="X3" s="10"/>
      <c r="Y3" s="10"/>
      <c r="Z3" s="10"/>
      <c r="AA3" s="10"/>
    </row>
    <row r="4" ht="29" customHeight="1" spans="1:35">
      <c r="A4" s="5"/>
      <c r="B4" s="6"/>
      <c r="C4" s="18"/>
      <c r="D4" s="20"/>
      <c r="E4" s="21"/>
      <c r="F4" s="17"/>
      <c r="G4" s="17"/>
      <c r="H4" s="17"/>
      <c r="I4" s="17"/>
      <c r="J4" s="17"/>
      <c r="K4" s="17"/>
      <c r="L4" s="17"/>
      <c r="M4" s="22"/>
      <c r="N4" s="17"/>
      <c r="O4" s="17"/>
      <c r="P4" s="17"/>
      <c r="Q4" s="17"/>
      <c r="R4" s="17"/>
      <c r="S4" s="17"/>
      <c r="T4" s="8"/>
      <c r="U4" s="9"/>
      <c r="V4" s="10">
        <f>E14*1.15</f>
        <v>4635.38713682285</v>
      </c>
      <c r="W4" s="10"/>
      <c r="X4" s="10"/>
      <c r="Y4" s="10"/>
      <c r="Z4" s="10"/>
      <c r="AA4" s="10"/>
    </row>
    <row r="5" ht="37" customHeight="1" spans="1:35">
      <c r="A5" s="5"/>
      <c r="B5" s="6"/>
      <c r="C5" s="18"/>
      <c r="D5" s="20"/>
      <c r="E5" s="23" t="s">
        <v>1</v>
      </c>
      <c r="F5" s="24"/>
      <c r="G5" s="25"/>
      <c r="H5" s="25"/>
      <c r="I5" s="25"/>
      <c r="J5" s="25"/>
      <c r="K5" s="25"/>
      <c r="L5" s="25"/>
      <c r="M5" s="26"/>
      <c r="N5" s="24"/>
      <c r="O5" s="24"/>
      <c r="P5" s="24"/>
      <c r="Q5" s="24"/>
      <c r="R5" s="24"/>
      <c r="S5" s="24"/>
      <c r="T5" s="8"/>
      <c r="U5" s="9"/>
      <c r="V5" s="10"/>
      <c r="Y5" s="10"/>
      <c r="Z5" s="27" t="s">
        <v>2</v>
      </c>
      <c r="AA5" s="28">
        <f>(((AA9-1)/AA9)^2)/(3.1415926*((AA9+1)/(AA9-1)-2/LN(AA9)))</f>
        <v>0.581474272160731</v>
      </c>
    </row>
    <row r="6" ht="32.4" customHeight="1" spans="1:35">
      <c r="A6" s="5"/>
      <c r="B6" s="6"/>
      <c r="C6" s="29" t="s">
        <v>3</v>
      </c>
      <c r="D6" s="30"/>
      <c r="E6" s="31"/>
      <c r="F6" s="30"/>
      <c r="G6" s="20"/>
      <c r="H6" s="20"/>
      <c r="I6" s="20"/>
      <c r="J6" s="20"/>
      <c r="K6" s="32"/>
      <c r="L6" s="33"/>
      <c r="M6" s="34"/>
      <c r="N6" s="20"/>
      <c r="O6" s="20"/>
      <c r="P6" s="20"/>
      <c r="Q6" s="20"/>
      <c r="R6" s="20"/>
      <c r="S6" s="20"/>
      <c r="T6" s="8"/>
      <c r="U6" s="35" t="s">
        <v>4</v>
      </c>
      <c r="V6" s="36" t="s">
        <v>5</v>
      </c>
      <c r="W6" s="37">
        <f>(E7-E8)/(E7-E8-3*W7)</f>
        <v>1</v>
      </c>
      <c r="Y6" s="10"/>
      <c r="Z6" s="27" t="s">
        <v>6</v>
      </c>
      <c r="AA6" s="28">
        <f>(6/3.1415926)*((AA9-1)/LN(AA9)-1)/LN(AA9)</f>
        <v>1.12857418543928</v>
      </c>
      <c r="AC6" s="38">
        <v>31.5</v>
      </c>
    </row>
    <row r="7" ht="28.95" customHeight="1" spans="1:35">
      <c r="A7" s="5"/>
      <c r="B7" s="6"/>
      <c r="C7" s="39" t="s">
        <v>7</v>
      </c>
      <c r="D7" s="40" t="s">
        <v>8</v>
      </c>
      <c r="E7" s="41">
        <v>28</v>
      </c>
      <c r="F7" s="42" t="s">
        <v>9</v>
      </c>
      <c r="G7" s="20"/>
      <c r="H7" s="20"/>
      <c r="I7" s="20"/>
      <c r="J7" s="20"/>
      <c r="K7" s="20"/>
      <c r="L7" s="20"/>
      <c r="M7" s="34"/>
      <c r="N7" s="20"/>
      <c r="O7" s="20"/>
      <c r="P7" s="20"/>
      <c r="Q7" s="20"/>
      <c r="R7" s="20"/>
      <c r="S7" s="20"/>
      <c r="T7" s="8"/>
      <c r="U7" s="43"/>
      <c r="V7" s="44" t="s">
        <v>10</v>
      </c>
      <c r="W7" s="45">
        <v>0</v>
      </c>
      <c r="Y7" s="10"/>
      <c r="Z7" s="27" t="s">
        <v>11</v>
      </c>
      <c r="AA7" s="28">
        <f>(3/3.1415926)*(AA9-1)/LN(AA9)</f>
        <v>1.22663278630424</v>
      </c>
      <c r="AC7" s="38">
        <v>16.3</v>
      </c>
    </row>
    <row r="8" ht="33" customHeight="1" spans="1:35">
      <c r="A8" s="5"/>
      <c r="B8" s="6"/>
      <c r="C8" s="39" t="s">
        <v>12</v>
      </c>
      <c r="D8" s="40" t="s">
        <v>13</v>
      </c>
      <c r="E8" s="41">
        <v>17.3</v>
      </c>
      <c r="F8" s="42" t="s">
        <v>9</v>
      </c>
      <c r="G8" s="20"/>
      <c r="H8" s="20"/>
      <c r="I8" s="20"/>
      <c r="J8" s="20"/>
      <c r="K8" s="20"/>
      <c r="L8" s="20"/>
      <c r="M8" s="34"/>
      <c r="N8" s="20"/>
      <c r="O8" s="20"/>
      <c r="P8" s="20"/>
      <c r="Q8" s="20"/>
      <c r="R8" s="20"/>
      <c r="S8" s="20"/>
      <c r="T8" s="8"/>
      <c r="U8" s="43" t="s">
        <v>14</v>
      </c>
      <c r="V8" s="46" t="s">
        <v>15</v>
      </c>
      <c r="W8" s="45">
        <v>1.65</v>
      </c>
      <c r="Y8" s="10"/>
      <c r="Z8" s="27" t="s">
        <v>16</v>
      </c>
      <c r="AA8" s="28">
        <f>(-AA10/2+((AA10/2)^2+AA11)^(0.5))^(0.5)</f>
        <v>1</v>
      </c>
      <c r="AC8" s="38">
        <v>1.75</v>
      </c>
      <c r="AI8" s="47"/>
    </row>
    <row r="9" ht="31.2" customHeight="1" spans="1:35">
      <c r="A9" s="5"/>
      <c r="B9" s="6"/>
      <c r="C9" s="39" t="s">
        <v>17</v>
      </c>
      <c r="D9" s="40" t="s">
        <v>18</v>
      </c>
      <c r="E9" s="41">
        <v>1.5</v>
      </c>
      <c r="F9" s="42" t="s">
        <v>9</v>
      </c>
      <c r="G9" s="20"/>
      <c r="H9" s="20"/>
      <c r="I9" s="20"/>
      <c r="J9" s="20"/>
      <c r="K9" s="20"/>
      <c r="L9" s="20"/>
      <c r="M9" s="34"/>
      <c r="N9" s="20"/>
      <c r="O9" s="20"/>
      <c r="P9" s="20"/>
      <c r="Q9" s="20"/>
      <c r="R9" s="20"/>
      <c r="S9" s="20"/>
      <c r="T9" s="8"/>
      <c r="U9" s="48" t="s">
        <v>19</v>
      </c>
      <c r="V9" s="46" t="s">
        <v>20</v>
      </c>
      <c r="W9" s="49">
        <f>E13/E9</f>
        <v>0.513333333333333</v>
      </c>
      <c r="X9" s="50"/>
      <c r="Y9" s="10"/>
      <c r="Z9" s="27" t="s">
        <v>21</v>
      </c>
      <c r="AA9" s="28">
        <f>E7/E8</f>
        <v>1.61849710982659</v>
      </c>
      <c r="AC9" s="38">
        <v>1.75</v>
      </c>
      <c r="AI9" s="47"/>
    </row>
    <row r="10" ht="31.2" customHeight="1" spans="1:35">
      <c r="A10" s="5"/>
      <c r="B10" s="6"/>
      <c r="C10" s="39" t="s">
        <v>22</v>
      </c>
      <c r="D10" s="40" t="s">
        <v>23</v>
      </c>
      <c r="E10" s="41">
        <v>1.5</v>
      </c>
      <c r="F10" s="42" t="s">
        <v>9</v>
      </c>
      <c r="G10" s="20"/>
      <c r="H10" s="20"/>
      <c r="I10" s="20"/>
      <c r="J10" s="20"/>
      <c r="K10" s="20"/>
      <c r="L10" s="20"/>
      <c r="M10" s="34"/>
      <c r="N10" s="20"/>
      <c r="O10" s="20"/>
      <c r="P10" s="20"/>
      <c r="Q10" s="20"/>
      <c r="R10" s="20"/>
      <c r="S10" s="20"/>
      <c r="T10" s="8"/>
      <c r="U10" s="51" t="s">
        <v>24</v>
      </c>
      <c r="V10" s="52" t="s">
        <v>25</v>
      </c>
      <c r="W10" s="53">
        <v>1.5</v>
      </c>
      <c r="X10" s="50"/>
      <c r="Y10" s="10"/>
      <c r="Z10" s="27" t="s">
        <v>26</v>
      </c>
      <c r="AA10" s="28">
        <f>((E10/E9)^2)/((0.25*(E11/E9)-E10/E9+0.75)*(0.625*(E11/E9)-E10/E9+0.375))</f>
        <v>24.2874009107775</v>
      </c>
      <c r="AC10" s="38">
        <v>2.45</v>
      </c>
      <c r="AI10" s="47"/>
    </row>
    <row r="11" ht="33.6" customHeight="1" spans="1:35">
      <c r="A11" s="5"/>
      <c r="B11" s="6"/>
      <c r="C11" s="39" t="s">
        <v>27</v>
      </c>
      <c r="D11" s="54" t="s">
        <v>28</v>
      </c>
      <c r="E11" s="41">
        <v>2.27</v>
      </c>
      <c r="F11" s="42" t="s">
        <v>9</v>
      </c>
      <c r="G11" s="20"/>
      <c r="H11" s="20"/>
      <c r="I11" s="20"/>
      <c r="J11" s="20"/>
      <c r="K11" s="20"/>
      <c r="L11" s="20"/>
      <c r="M11" s="34"/>
      <c r="N11" s="20"/>
      <c r="O11" s="20"/>
      <c r="P11" s="20"/>
      <c r="Q11" s="20"/>
      <c r="R11" s="20"/>
      <c r="S11" s="20"/>
      <c r="T11" s="44"/>
      <c r="U11" s="43" t="s">
        <v>29</v>
      </c>
      <c r="V11" s="55" t="s">
        <v>30</v>
      </c>
      <c r="W11" s="56">
        <f>(E11-W12)/2</f>
        <v>-2.065</v>
      </c>
      <c r="Z11" s="27" t="s">
        <v>31</v>
      </c>
      <c r="AA11" s="28">
        <f>AA10/((E10/E9)^3)*(5/32*(E11/E9-1)^2+1)</f>
        <v>25.2874009107775</v>
      </c>
      <c r="AC11" s="57">
        <v>0.525</v>
      </c>
      <c r="AE11" s="3" t="s">
        <v>32</v>
      </c>
      <c r="AI11" s="47"/>
    </row>
    <row r="12" ht="33.6" customHeight="1" spans="1:35">
      <c r="A12" s="5"/>
      <c r="B12" s="6"/>
      <c r="C12" s="39" t="s">
        <v>33</v>
      </c>
      <c r="D12" s="40" t="s">
        <v>34</v>
      </c>
      <c r="E12" s="58">
        <f>E13*0.75</f>
        <v>0.5775</v>
      </c>
      <c r="F12" s="42" t="s">
        <v>9</v>
      </c>
      <c r="G12" s="20"/>
      <c r="H12" s="20"/>
      <c r="I12" s="20"/>
      <c r="J12" s="20"/>
      <c r="K12" s="20"/>
      <c r="L12" s="20"/>
      <c r="M12" s="34"/>
      <c r="N12" s="20"/>
      <c r="O12" s="20"/>
      <c r="P12" s="20"/>
      <c r="Q12" s="20"/>
      <c r="R12" s="20"/>
      <c r="S12" s="20"/>
      <c r="T12" s="44"/>
      <c r="U12" s="43" t="s">
        <v>35</v>
      </c>
      <c r="V12" s="55" t="s">
        <v>36</v>
      </c>
      <c r="W12" s="59">
        <v>6.4</v>
      </c>
      <c r="Z12" s="27"/>
      <c r="AA12" s="27"/>
      <c r="AI12" s="47"/>
    </row>
    <row r="13" ht="31.95" customHeight="1" spans="1:35">
      <c r="A13" s="5"/>
      <c r="B13" s="6"/>
      <c r="C13" s="39" t="s">
        <v>37</v>
      </c>
      <c r="D13" s="54" t="s">
        <v>38</v>
      </c>
      <c r="E13" s="60">
        <f>E11-E10</f>
        <v>0.77</v>
      </c>
      <c r="F13" s="42" t="s">
        <v>9</v>
      </c>
      <c r="G13" s="20"/>
      <c r="H13" s="20"/>
      <c r="I13" s="20"/>
      <c r="J13" s="20"/>
      <c r="K13" s="20"/>
      <c r="L13" s="20"/>
      <c r="M13" s="34"/>
      <c r="N13" s="20"/>
      <c r="O13" s="20"/>
      <c r="P13" s="20"/>
      <c r="Q13" s="20"/>
      <c r="R13" s="20"/>
      <c r="S13" s="20"/>
      <c r="T13" s="44"/>
      <c r="U13" s="48" t="s">
        <v>39</v>
      </c>
      <c r="V13" s="61" t="s">
        <v>40</v>
      </c>
      <c r="W13" s="62">
        <f>SIN((D28*1.001)*PI()/180)</f>
        <v>0.147715479096813</v>
      </c>
      <c r="Y13" s="10"/>
      <c r="Z13" s="63" t="s">
        <v>41</v>
      </c>
      <c r="AA13" s="64">
        <v>0.3</v>
      </c>
      <c r="AC13" s="2" t="s">
        <v>42</v>
      </c>
      <c r="AI13" s="47"/>
    </row>
    <row r="14" ht="50.4" customHeight="1" spans="1:35">
      <c r="A14" s="5"/>
      <c r="B14" s="6"/>
      <c r="C14" s="65" t="s">
        <v>43</v>
      </c>
      <c r="D14" s="66" t="s">
        <v>44</v>
      </c>
      <c r="E14" s="67">
        <f>(4*D23/(1-AA13^2))*(E10^4/AA5/E7/E7)*(AA8^2)*(E12/E10)*((AA8^2)*(E13/E10-E12/E10)*(E13/E10-E12/2/E10)+1)*W6</f>
        <v>4030.77142332422</v>
      </c>
      <c r="F14" s="68" t="s">
        <v>45</v>
      </c>
      <c r="G14" s="436" t="s">
        <v>46</v>
      </c>
      <c r="H14" s="13"/>
      <c r="I14" s="13"/>
      <c r="J14" s="13"/>
      <c r="K14" s="13"/>
      <c r="L14" s="13"/>
      <c r="M14" s="70"/>
      <c r="N14" s="71"/>
      <c r="O14" s="71"/>
      <c r="P14" s="71"/>
      <c r="Q14" s="71"/>
      <c r="R14" s="71"/>
      <c r="S14" s="71"/>
      <c r="U14" s="72"/>
      <c r="V14" s="73"/>
      <c r="W14" s="73"/>
      <c r="X14" s="73"/>
      <c r="Y14" s="73"/>
      <c r="Z14" s="74"/>
      <c r="AA14" s="74"/>
      <c r="AB14" s="73"/>
      <c r="AC14" s="75"/>
      <c r="AD14" s="73"/>
      <c r="AH14" s="76">
        <v>13.4</v>
      </c>
      <c r="AI14" s="47">
        <v>13.1</v>
      </c>
    </row>
    <row r="15" ht="34.95" customHeight="1" spans="1:35">
      <c r="A15" s="5"/>
      <c r="B15" s="6"/>
      <c r="C15" s="77" t="s">
        <v>47</v>
      </c>
      <c r="D15" s="80"/>
      <c r="E15" s="81"/>
      <c r="F15" s="82"/>
      <c r="G15" s="83"/>
      <c r="H15" s="20"/>
      <c r="I15" s="20"/>
      <c r="J15" s="20"/>
      <c r="K15" s="20"/>
      <c r="L15" s="20"/>
      <c r="M15" s="34"/>
      <c r="N15" s="71"/>
      <c r="O15" s="71"/>
      <c r="P15" s="71"/>
      <c r="Q15" s="71"/>
      <c r="R15" s="71"/>
      <c r="S15" s="71"/>
      <c r="U15" s="84">
        <v>80</v>
      </c>
      <c r="V15" s="73">
        <f>E12/E13</f>
        <v>0.75</v>
      </c>
      <c r="W15" s="73"/>
      <c r="X15" s="73"/>
      <c r="Y15" s="73"/>
      <c r="Z15" s="85"/>
      <c r="AA15" s="86"/>
      <c r="AB15" s="73"/>
      <c r="AC15" s="38"/>
      <c r="AD15" s="73"/>
      <c r="AH15" s="76">
        <v>138929.666790476</v>
      </c>
      <c r="AI15" s="87">
        <v>137096.745294997</v>
      </c>
    </row>
    <row r="16" ht="36.6" customHeight="1" spans="1:35">
      <c r="A16" s="5"/>
      <c r="B16" s="6"/>
      <c r="C16" s="88" t="s">
        <v>48</v>
      </c>
      <c r="D16" s="97" t="s">
        <v>49</v>
      </c>
      <c r="E16" s="89">
        <f>(-4*D23/(1-AA13^2))*(E10^2/AA5/E7/E7)*AA8*E12/E10*3/3.1415926</f>
        <v>-1643.06176694611</v>
      </c>
      <c r="F16" s="90" t="s">
        <v>50</v>
      </c>
      <c r="G16" s="91"/>
      <c r="H16" s="20"/>
      <c r="I16" s="20"/>
      <c r="J16" s="20"/>
      <c r="K16" s="20"/>
      <c r="L16" s="20"/>
      <c r="M16" s="34"/>
      <c r="N16" s="71"/>
      <c r="O16" s="71"/>
      <c r="P16" s="71"/>
      <c r="Q16" s="71"/>
      <c r="R16" s="71"/>
      <c r="S16" s="71"/>
      <c r="U16" s="73"/>
      <c r="V16" s="92"/>
      <c r="W16" s="73"/>
      <c r="X16" s="93"/>
      <c r="Y16" s="73"/>
      <c r="Z16" s="94"/>
      <c r="AA16" s="73"/>
      <c r="AB16" s="73"/>
      <c r="AC16" s="38"/>
      <c r="AD16" s="73"/>
    </row>
    <row r="17" ht="33" customHeight="1" spans="1:34">
      <c r="A17" s="5"/>
      <c r="B17" s="6"/>
      <c r="C17" s="88" t="s">
        <v>51</v>
      </c>
      <c r="D17" s="97" t="s">
        <v>52</v>
      </c>
      <c r="E17" s="89">
        <f>(-4*D23/(1-AA13^2))*(E10*E10/AA5/E7/E7)*AA8*E12/E10*(AA8*AA6*(E13/E10-E12/2/E10)+AA7)</f>
        <v>-2733.56272902816</v>
      </c>
      <c r="F17" s="90" t="s">
        <v>50</v>
      </c>
      <c r="G17" s="91"/>
      <c r="H17" s="20"/>
      <c r="I17" s="20"/>
      <c r="J17" s="20"/>
      <c r="K17" s="20"/>
      <c r="L17" s="20"/>
      <c r="M17" s="34"/>
      <c r="N17" s="71"/>
      <c r="O17" s="71"/>
      <c r="P17" s="71"/>
      <c r="Q17" s="71"/>
      <c r="R17" s="71"/>
      <c r="S17" s="71"/>
      <c r="U17" s="73"/>
      <c r="V17" s="95" t="s">
        <v>53</v>
      </c>
      <c r="W17" s="96">
        <f>E7/E8</f>
        <v>1.61849710982659</v>
      </c>
      <c r="X17" s="95" t="s">
        <v>54</v>
      </c>
      <c r="Y17" s="73"/>
      <c r="Z17" s="94" t="s">
        <v>55</v>
      </c>
      <c r="AA17" s="73">
        <v>9811</v>
      </c>
      <c r="AB17" s="73">
        <f>AA17*0.925</f>
        <v>9075.175</v>
      </c>
      <c r="AC17" s="38"/>
      <c r="AD17" s="73"/>
    </row>
    <row r="18" ht="37.95" customHeight="1" spans="1:34">
      <c r="A18" s="5"/>
      <c r="B18" s="6"/>
      <c r="C18" s="88" t="s">
        <v>56</v>
      </c>
      <c r="D18" s="97" t="s">
        <v>57</v>
      </c>
      <c r="E18" s="89">
        <f>(-4*D23/(1-AA13^2))*(E10*E10/AA5/E7/E7)*AA8*E12/E10*(AA8*AA6*(E13/E10-E12/2/E10)-AA7)</f>
        <v>1487.5511107847</v>
      </c>
      <c r="F18" s="90" t="s">
        <v>50</v>
      </c>
      <c r="G18" s="91"/>
      <c r="H18" s="20"/>
      <c r="I18" s="20"/>
      <c r="J18" s="20"/>
      <c r="K18" s="20"/>
      <c r="L18" s="20"/>
      <c r="M18" s="34"/>
      <c r="N18" s="71"/>
      <c r="O18" s="71"/>
      <c r="P18" s="71"/>
      <c r="Q18" s="71"/>
      <c r="R18" s="71"/>
      <c r="S18" s="71"/>
      <c r="U18" s="72">
        <f>E12/E13</f>
        <v>0.75</v>
      </c>
      <c r="V18" s="96" t="s">
        <v>58</v>
      </c>
      <c r="W18" s="96">
        <f>E13/E9</f>
        <v>0.513333333333333</v>
      </c>
      <c r="X18" s="96" t="s">
        <v>59</v>
      </c>
      <c r="Y18" s="73"/>
      <c r="Z18" s="94"/>
      <c r="AA18" s="73">
        <v>7680</v>
      </c>
      <c r="AB18" s="73">
        <v>7.46</v>
      </c>
      <c r="AC18" s="38"/>
      <c r="AD18" s="73"/>
    </row>
    <row r="19" ht="34.95" customHeight="1" spans="1:34">
      <c r="A19" s="5"/>
      <c r="B19" s="6"/>
      <c r="C19" s="88" t="s">
        <v>60</v>
      </c>
      <c r="D19" s="97" t="s">
        <v>61</v>
      </c>
      <c r="E19" s="89">
        <f>(-4*D23/(1-AA13^2))*(E10*E10/AA5/E7/E7)*AA8/AA9*E12/E10*(AA8*(AA6-2*AA7)*(E13/E10-E12/2/E10)-AA7)</f>
        <v>1755.84195803464</v>
      </c>
      <c r="F19" s="90" t="s">
        <v>62</v>
      </c>
      <c r="G19" s="91"/>
      <c r="H19" s="20"/>
      <c r="I19" s="20"/>
      <c r="J19" s="20"/>
      <c r="K19" s="20"/>
      <c r="L19" s="20"/>
      <c r="M19" s="34"/>
      <c r="N19" s="71"/>
      <c r="O19" s="71"/>
      <c r="P19" s="71"/>
      <c r="Q19" s="71"/>
      <c r="R19" s="71"/>
      <c r="S19" s="71"/>
      <c r="U19" s="72"/>
      <c r="V19" s="96" t="s">
        <v>63</v>
      </c>
      <c r="W19" s="96">
        <v>4.5</v>
      </c>
      <c r="X19" s="96" t="s">
        <v>64</v>
      </c>
      <c r="Y19" s="73"/>
      <c r="Z19" s="74"/>
      <c r="AA19" s="74"/>
      <c r="AB19" s="73"/>
      <c r="AC19" s="38"/>
      <c r="AD19" s="73"/>
    </row>
    <row r="20" ht="38" customHeight="1" spans="1:34">
      <c r="A20" s="5"/>
      <c r="B20" s="6"/>
      <c r="C20" s="88" t="s">
        <v>65</v>
      </c>
      <c r="D20" s="97" t="s">
        <v>66</v>
      </c>
      <c r="E20" s="89">
        <f>(-4*D23/(1-AA13^2))*(E10*E10/AA5/E7/E7)*AA8/AA9*E12/E10*(AA8*(AA6-2*AA7)*(E13/E10-E12/2/E10)+AA7)</f>
        <v>-852.203378706878</v>
      </c>
      <c r="F20" s="90" t="s">
        <v>62</v>
      </c>
      <c r="G20" s="91"/>
      <c r="H20" s="20"/>
      <c r="I20" s="20"/>
      <c r="J20" s="20"/>
      <c r="K20" s="20"/>
      <c r="L20" s="20"/>
      <c r="M20" s="34"/>
      <c r="N20" s="71"/>
      <c r="O20" s="71"/>
      <c r="P20" s="71"/>
      <c r="Q20" s="71"/>
      <c r="R20" s="71"/>
      <c r="S20" s="71"/>
      <c r="U20" s="98">
        <v>7.6</v>
      </c>
      <c r="V20" s="96" t="s">
        <v>67</v>
      </c>
      <c r="W20" s="96">
        <f>W19+E9</f>
        <v>6</v>
      </c>
      <c r="X20" s="99" t="s">
        <v>68</v>
      </c>
      <c r="Y20" s="100"/>
      <c r="Z20" s="73" t="s">
        <v>69</v>
      </c>
      <c r="AA20" s="73" t="s">
        <v>70</v>
      </c>
      <c r="AB20" s="100">
        <f>1.5-1.35</f>
        <v>0.15</v>
      </c>
      <c r="AC20" s="101"/>
      <c r="AD20" s="100"/>
    </row>
    <row r="21" ht="36.6" customHeight="1" spans="1:34">
      <c r="A21" s="5"/>
      <c r="B21" s="6"/>
      <c r="C21" s="103" t="s">
        <v>71</v>
      </c>
      <c r="D21" s="105"/>
      <c r="E21" s="106"/>
      <c r="F21" s="82"/>
      <c r="G21" s="83"/>
      <c r="H21" s="20"/>
      <c r="I21" s="20"/>
      <c r="J21" s="20"/>
      <c r="K21" s="20"/>
      <c r="L21" s="20"/>
      <c r="M21" s="34"/>
      <c r="N21" s="71"/>
      <c r="O21" s="71"/>
      <c r="P21" s="71"/>
      <c r="Q21" s="71"/>
      <c r="R21" s="71"/>
      <c r="S21" s="71"/>
      <c r="U21" s="98">
        <f>U20-6.84</f>
        <v>0.76</v>
      </c>
      <c r="V21" s="107" t="s">
        <v>72</v>
      </c>
      <c r="W21" s="107">
        <f>W19/1.4</f>
        <v>3.21428571428571</v>
      </c>
      <c r="X21" s="99" t="s">
        <v>73</v>
      </c>
      <c r="Y21" s="100"/>
      <c r="Z21" s="96">
        <v>260</v>
      </c>
      <c r="AA21" s="96">
        <v>16051</v>
      </c>
      <c r="AB21" s="100"/>
      <c r="AC21" s="100"/>
      <c r="AD21" s="108"/>
      <c r="AE21" s="109"/>
      <c r="AF21" s="110"/>
      <c r="AG21" s="110"/>
      <c r="AH21" s="111"/>
    </row>
    <row r="22" ht="35.4" customHeight="1" spans="1:34">
      <c r="A22" s="5"/>
      <c r="B22" s="6"/>
      <c r="C22" s="113" t="s">
        <v>74</v>
      </c>
      <c r="D22" s="115" t="s">
        <v>75</v>
      </c>
      <c r="E22" s="437"/>
      <c r="F22" s="82"/>
      <c r="G22" s="83"/>
      <c r="H22" s="20"/>
      <c r="I22" s="20"/>
      <c r="J22" s="20"/>
      <c r="K22" s="20"/>
      <c r="L22" s="20"/>
      <c r="M22" s="34"/>
      <c r="N22" s="71"/>
      <c r="O22" s="71"/>
      <c r="P22" s="71"/>
      <c r="Q22" s="71"/>
      <c r="R22" s="71"/>
      <c r="S22" s="71"/>
      <c r="U22" s="98">
        <f>U20-5.83</f>
        <v>1.77</v>
      </c>
      <c r="V22" s="73"/>
      <c r="W22" s="73"/>
      <c r="X22" s="100"/>
      <c r="Y22" s="100"/>
      <c r="Z22" s="96">
        <v>255</v>
      </c>
      <c r="AA22" s="96">
        <v>16859</v>
      </c>
      <c r="AB22" s="100"/>
      <c r="AC22" s="116"/>
      <c r="AD22" s="108"/>
      <c r="AE22" s="109"/>
      <c r="AF22" s="110"/>
      <c r="AG22" s="110"/>
      <c r="AH22" s="111"/>
    </row>
    <row r="23" ht="36.6" customHeight="1" spans="1:34">
      <c r="A23" s="5"/>
      <c r="B23" s="6"/>
      <c r="C23" s="118" t="s">
        <v>76</v>
      </c>
      <c r="D23" s="120">
        <v>206000</v>
      </c>
      <c r="E23" s="438"/>
      <c r="F23" s="122" t="s">
        <v>77</v>
      </c>
      <c r="G23" s="83"/>
      <c r="H23" s="20"/>
      <c r="I23" s="20"/>
      <c r="J23" s="20"/>
      <c r="K23" s="20"/>
      <c r="L23" s="20"/>
      <c r="M23" s="34"/>
      <c r="N23" s="71"/>
      <c r="O23" s="71"/>
      <c r="P23" s="71"/>
      <c r="Q23" s="71"/>
      <c r="R23" s="71"/>
      <c r="S23" s="71"/>
      <c r="U23" s="73"/>
      <c r="V23" s="73">
        <v>-482.008054302415</v>
      </c>
      <c r="W23" s="73">
        <v>-696.2338562146</v>
      </c>
      <c r="X23" s="100"/>
      <c r="Y23" s="100"/>
      <c r="Z23" s="96">
        <v>250</v>
      </c>
      <c r="AA23" s="96">
        <v>17736</v>
      </c>
      <c r="AB23" s="100"/>
      <c r="AC23" s="100"/>
      <c r="AD23" s="108"/>
      <c r="AE23" s="109"/>
      <c r="AF23" s="123"/>
      <c r="AG23" s="123"/>
    </row>
    <row r="24" ht="40.2" customHeight="1" spans="1:34">
      <c r="A24" s="5"/>
      <c r="B24" s="6"/>
      <c r="C24" s="125" t="s">
        <v>78</v>
      </c>
      <c r="D24" s="127">
        <v>25</v>
      </c>
      <c r="E24" s="439"/>
      <c r="F24" s="126" t="str">
        <f>$E$312</f>
        <v>°C</v>
      </c>
      <c r="G24" s="83"/>
      <c r="H24" s="33"/>
      <c r="I24" s="33"/>
      <c r="J24" s="20"/>
      <c r="K24" s="20"/>
      <c r="L24" s="20"/>
      <c r="M24" s="34"/>
      <c r="N24" s="71"/>
      <c r="O24" s="71"/>
      <c r="P24" s="71"/>
      <c r="Q24" s="71"/>
      <c r="R24" s="71"/>
      <c r="S24" s="71"/>
      <c r="U24" s="129"/>
      <c r="V24" s="73">
        <v>-1118.94431224061</v>
      </c>
      <c r="W24" s="73">
        <v>-1462.40307051252</v>
      </c>
      <c r="X24" s="73"/>
      <c r="Y24" s="100"/>
      <c r="Z24" s="96">
        <v>245</v>
      </c>
      <c r="AA24" s="96">
        <v>18692</v>
      </c>
      <c r="AB24" s="100"/>
      <c r="AC24" s="100"/>
      <c r="AD24" s="108"/>
      <c r="AE24" s="109"/>
      <c r="AF24" s="123"/>
      <c r="AG24" s="123"/>
    </row>
    <row r="25" ht="45" customHeight="1" spans="1:34">
      <c r="A25" s="5"/>
      <c r="B25" s="6"/>
      <c r="C25" s="130" t="s">
        <v>79</v>
      </c>
      <c r="D25" s="132"/>
      <c r="E25" s="132"/>
      <c r="F25" s="133"/>
      <c r="G25" s="91"/>
      <c r="H25" s="33"/>
      <c r="I25" s="33"/>
      <c r="J25" s="20"/>
      <c r="K25" s="20"/>
      <c r="L25" s="20"/>
      <c r="M25" s="34"/>
      <c r="N25" s="71"/>
      <c r="O25" s="71"/>
      <c r="P25" s="71"/>
      <c r="Q25" s="71"/>
      <c r="R25" s="71"/>
      <c r="S25" s="71"/>
      <c r="U25" s="129"/>
      <c r="V25" s="73">
        <v>0.574430901433381</v>
      </c>
      <c r="W25" s="129">
        <v>154.679558470422</v>
      </c>
      <c r="X25" s="73"/>
      <c r="Y25" s="100"/>
      <c r="Z25" s="134">
        <v>240</v>
      </c>
      <c r="AA25" s="96">
        <v>19738</v>
      </c>
      <c r="AB25" s="100"/>
      <c r="AC25" s="100"/>
      <c r="AD25" s="108"/>
      <c r="AE25" s="109"/>
      <c r="AF25" s="123"/>
      <c r="AG25" s="123"/>
    </row>
    <row r="26" ht="46.2" customHeight="1" spans="1:34">
      <c r="A26" s="5"/>
      <c r="B26" s="6"/>
      <c r="C26" s="135" t="s">
        <v>80</v>
      </c>
      <c r="D26" s="138" t="s">
        <v>81</v>
      </c>
      <c r="E26" s="139" t="s">
        <v>82</v>
      </c>
      <c r="F26" s="140" t="s">
        <v>83</v>
      </c>
      <c r="G26" s="91"/>
      <c r="H26" s="20"/>
      <c r="I26" s="20"/>
      <c r="J26" s="20"/>
      <c r="K26" s="20"/>
      <c r="L26" s="20"/>
      <c r="M26" s="34"/>
      <c r="N26" s="71"/>
      <c r="O26" s="71"/>
      <c r="P26" s="71"/>
      <c r="Q26" s="71"/>
      <c r="R26" s="71"/>
      <c r="S26" s="71"/>
      <c r="U26" s="73"/>
      <c r="V26" s="73">
        <v>878.25806207398</v>
      </c>
      <c r="W26" s="129">
        <v>1141.96694227104</v>
      </c>
      <c r="X26" s="73"/>
      <c r="Y26" s="141"/>
      <c r="Z26" s="134">
        <v>235</v>
      </c>
      <c r="AA26" s="96">
        <v>20887</v>
      </c>
      <c r="AB26" s="142"/>
      <c r="AC26" s="100"/>
      <c r="AD26" s="108"/>
      <c r="AE26" s="109"/>
      <c r="AF26" s="123"/>
      <c r="AG26" s="123"/>
    </row>
    <row r="27" ht="36.6" customHeight="1" spans="1:34">
      <c r="A27" s="5"/>
      <c r="B27" s="6"/>
      <c r="C27" s="143">
        <f>(-4*D23/(1-AA13^2))*(E10^2/AA5/E7/E7)*AA8*E13/E10*3/3.1415926</f>
        <v>-2190.74902259482</v>
      </c>
      <c r="D27" s="146">
        <f>(-4*D23/(1-AA13^2))*(E10*E10/AA5/E7/E7)*AA8*E13/E10*(AA8*AA6*(E13/E10-E13/2/E10)+AA7)</f>
        <v>-3478.61542293842</v>
      </c>
      <c r="E27" s="147">
        <f>(-4*D23/(1-AA13^2))*(E10*E10/AA5/E7/E7)*AA8*E13/E10*(AA8*AA6*(E13/E10-E13/2/E10)-AA7)</f>
        <v>2149.53636347873</v>
      </c>
      <c r="F27" s="148">
        <f>(-4*D23/(1-AA13^2))*(E10*E10/AA5/E7/E7)*AA8/AA9*E13/E10*(AA8*(AA6-2*AA7)*(E13/E10-E13/2/E10)-AA7)</f>
        <v>2220.63746680249</v>
      </c>
      <c r="G27" s="91"/>
      <c r="H27" s="149" t="s">
        <v>84</v>
      </c>
      <c r="I27" s="149"/>
      <c r="J27" s="149"/>
      <c r="K27" s="149"/>
      <c r="L27" s="149"/>
      <c r="M27" s="34"/>
      <c r="N27" s="71"/>
      <c r="O27" s="71"/>
      <c r="P27" s="71"/>
      <c r="Q27" s="71"/>
      <c r="R27" s="71"/>
      <c r="S27" s="71"/>
      <c r="V27" s="73">
        <v>42.2303555017773</v>
      </c>
      <c r="W27" s="73">
        <v>-65.6286338888067</v>
      </c>
      <c r="X27" s="73"/>
      <c r="Y27" s="100"/>
      <c r="Z27" s="96">
        <v>230</v>
      </c>
      <c r="AA27" s="96">
        <v>22152</v>
      </c>
      <c r="AB27" s="101"/>
      <c r="AC27" s="100"/>
      <c r="AD27" s="108"/>
      <c r="AE27" s="109"/>
      <c r="AF27" s="123"/>
      <c r="AG27" s="123"/>
    </row>
    <row r="28" ht="43.95" customHeight="1" spans="1:34">
      <c r="A28" s="5"/>
      <c r="B28" s="6"/>
      <c r="C28" s="440" t="s">
        <v>85</v>
      </c>
      <c r="D28" s="153">
        <f>180/3.1415926*ATAN(2*($E$256-$E$254*COS(ATAN(2*$E$274/($E$251-$E$252))))/($E$251-$E$252-2*$E$254*SIN(ATAN(2*$E$274/($E$251-$E$252)))))</f>
        <v>8.4860722851158</v>
      </c>
      <c r="E28" s="154" t="s">
        <v>86</v>
      </c>
      <c r="F28" s="155"/>
      <c r="G28" s="441" t="s">
        <v>87</v>
      </c>
      <c r="H28" s="153">
        <f>$U$351+2*(($E$7-$U$351)/2-$E$271/2*SIN($D$28/180*3.1415926))/COS($D$28/180*3.1415926)</f>
        <v>27.8401519253803</v>
      </c>
      <c r="I28" s="152" t="s">
        <v>9</v>
      </c>
      <c r="J28" s="155"/>
      <c r="K28" s="442" t="s">
        <v>88</v>
      </c>
      <c r="L28" s="153">
        <f>$U$351-2*((($U$351-$E$8)/2-$E$271/2*SIN($D$28/180*3.1415926))/COS($D$28/180*3.1415926))</f>
        <v>17.4693165488684</v>
      </c>
      <c r="M28" s="156" t="s">
        <v>9</v>
      </c>
      <c r="N28" s="157"/>
      <c r="O28" s="157"/>
      <c r="P28" s="157"/>
      <c r="Q28" s="157"/>
      <c r="R28" s="157"/>
      <c r="S28" s="157"/>
      <c r="U28" s="101"/>
      <c r="V28" s="158"/>
      <c r="W28" s="73"/>
      <c r="X28" s="73"/>
      <c r="Y28" s="100"/>
      <c r="Z28" s="96">
        <v>225</v>
      </c>
      <c r="AA28" s="96">
        <v>23552</v>
      </c>
      <c r="AB28" s="100"/>
      <c r="AC28" s="108"/>
      <c r="AD28" s="108"/>
      <c r="AE28" s="109"/>
      <c r="AF28" s="123"/>
      <c r="AG28" s="123"/>
    </row>
    <row r="29" ht="45.6" customHeight="1" spans="1:34">
      <c r="A29" s="5"/>
      <c r="B29" s="6"/>
      <c r="C29" s="443" t="s">
        <v>89</v>
      </c>
      <c r="D29" s="162">
        <v>1</v>
      </c>
      <c r="E29" s="163" t="s">
        <v>90</v>
      </c>
      <c r="F29" s="164"/>
      <c r="G29" s="165" t="s">
        <v>91</v>
      </c>
      <c r="H29" s="162">
        <v>1</v>
      </c>
      <c r="I29" s="166" t="s">
        <v>92</v>
      </c>
      <c r="J29" s="164"/>
      <c r="K29" s="444" t="s">
        <v>93</v>
      </c>
      <c r="L29" s="167">
        <f>(E11+(D29-1)*E10)*H29</f>
        <v>2.27</v>
      </c>
      <c r="M29" s="168" t="s">
        <v>9</v>
      </c>
      <c r="N29" s="169"/>
      <c r="O29" s="169"/>
      <c r="P29" s="169"/>
      <c r="Q29" s="169"/>
      <c r="R29" s="169"/>
      <c r="S29" s="169"/>
      <c r="U29" s="101"/>
      <c r="V29" s="73"/>
      <c r="W29" s="73"/>
      <c r="X29" s="73"/>
      <c r="Y29" s="74"/>
      <c r="Z29" s="96">
        <v>220</v>
      </c>
      <c r="AA29" s="96">
        <v>25110</v>
      </c>
      <c r="AB29" s="75"/>
      <c r="AC29" s="170"/>
      <c r="AD29" s="73"/>
    </row>
    <row r="30" ht="37.2" customHeight="1" spans="1:34">
      <c r="A30" s="5"/>
      <c r="B30" s="6"/>
      <c r="C30" s="445" t="s">
        <v>94</v>
      </c>
      <c r="D30" s="174">
        <v>0</v>
      </c>
      <c r="E30" s="174">
        <v>0.1</v>
      </c>
      <c r="F30" s="174">
        <v>0.1995</v>
      </c>
      <c r="G30" s="175">
        <v>0.3</v>
      </c>
      <c r="H30" s="175">
        <v>0.4</v>
      </c>
      <c r="I30" s="175">
        <v>0.5</v>
      </c>
      <c r="J30" s="176">
        <v>0.6</v>
      </c>
      <c r="K30" s="177">
        <v>0.8</v>
      </c>
      <c r="L30" s="178">
        <v>0.9</v>
      </c>
      <c r="M30" s="179">
        <v>1</v>
      </c>
      <c r="N30" s="180"/>
      <c r="O30" s="180"/>
      <c r="P30" s="180"/>
      <c r="Q30" s="180"/>
      <c r="R30" s="180"/>
      <c r="S30" s="180"/>
      <c r="U30" s="73"/>
      <c r="V30" s="99">
        <v>1903</v>
      </c>
      <c r="W30" s="96">
        <v>2155</v>
      </c>
      <c r="X30" s="181">
        <f>W30/V30-1</f>
        <v>0.132422490803994</v>
      </c>
      <c r="Y30" s="73"/>
      <c r="Z30" s="96">
        <v>215</v>
      </c>
      <c r="AA30" s="96">
        <v>26851</v>
      </c>
      <c r="AB30" s="73"/>
      <c r="AC30" s="170"/>
      <c r="AD30" s="73"/>
    </row>
    <row r="31" ht="33.6" customHeight="1" spans="1:34">
      <c r="A31" s="5"/>
      <c r="B31" s="6"/>
      <c r="C31" s="445" t="s">
        <v>95</v>
      </c>
      <c r="D31" s="185">
        <v>0</v>
      </c>
      <c r="E31" s="185">
        <f>$E$13*E30</f>
        <v>0.077</v>
      </c>
      <c r="F31" s="186">
        <f t="shared" ref="F31:M31" si="0">$E$13*F30</f>
        <v>0.153615</v>
      </c>
      <c r="G31" s="187">
        <f t="shared" si="0"/>
        <v>0.231</v>
      </c>
      <c r="H31" s="188">
        <f t="shared" si="0"/>
        <v>0.308</v>
      </c>
      <c r="I31" s="188">
        <f t="shared" si="0"/>
        <v>0.385</v>
      </c>
      <c r="J31" s="185">
        <f t="shared" si="0"/>
        <v>0.462</v>
      </c>
      <c r="K31" s="185">
        <f t="shared" si="0"/>
        <v>0.616</v>
      </c>
      <c r="L31" s="185">
        <f t="shared" si="0"/>
        <v>0.693</v>
      </c>
      <c r="M31" s="189">
        <f t="shared" si="0"/>
        <v>0.77</v>
      </c>
      <c r="N31" s="190"/>
      <c r="O31" s="190"/>
      <c r="P31" s="190"/>
      <c r="Q31" s="190"/>
      <c r="R31" s="190"/>
      <c r="S31" s="190"/>
      <c r="T31" s="10"/>
      <c r="U31" s="191"/>
      <c r="V31" s="99">
        <v>2716</v>
      </c>
      <c r="W31" s="27">
        <v>2827</v>
      </c>
      <c r="X31" s="181">
        <f>W31/V31-1</f>
        <v>0.0408689248895435</v>
      </c>
      <c r="Y31" s="74"/>
      <c r="Z31" s="27">
        <v>210</v>
      </c>
      <c r="AA31" s="27">
        <v>28808</v>
      </c>
      <c r="AB31" s="73"/>
      <c r="AC31" s="75"/>
      <c r="AD31" s="73"/>
    </row>
    <row r="32" ht="36" customHeight="1" spans="1:34">
      <c r="A32" s="5"/>
      <c r="B32" s="6"/>
      <c r="C32" s="445" t="s">
        <v>96</v>
      </c>
      <c r="D32" s="192">
        <f>D31*$H$29</f>
        <v>0</v>
      </c>
      <c r="E32" s="192">
        <f t="shared" ref="E32:M32" si="1">E31*$H$29</f>
        <v>0.077</v>
      </c>
      <c r="F32" s="186">
        <f t="shared" si="1"/>
        <v>0.153615</v>
      </c>
      <c r="G32" s="193">
        <f t="shared" si="1"/>
        <v>0.231</v>
      </c>
      <c r="H32" s="188">
        <f t="shared" si="1"/>
        <v>0.308</v>
      </c>
      <c r="I32" s="188">
        <f t="shared" si="1"/>
        <v>0.385</v>
      </c>
      <c r="J32" s="185">
        <f t="shared" si="1"/>
        <v>0.462</v>
      </c>
      <c r="K32" s="192">
        <f t="shared" si="1"/>
        <v>0.616</v>
      </c>
      <c r="L32" s="192">
        <f t="shared" si="1"/>
        <v>0.693</v>
      </c>
      <c r="M32" s="194">
        <f t="shared" si="1"/>
        <v>0.77</v>
      </c>
      <c r="N32" s="190"/>
      <c r="O32" s="190"/>
      <c r="P32" s="190"/>
      <c r="Q32" s="190"/>
      <c r="R32" s="190"/>
      <c r="S32" s="190"/>
      <c r="T32" s="10"/>
      <c r="U32" s="195"/>
      <c r="V32" s="99">
        <v>3400</v>
      </c>
      <c r="W32" s="27">
        <v>3345</v>
      </c>
      <c r="X32" s="181">
        <f>W32/V32-1</f>
        <v>-0.0161764705882353</v>
      </c>
      <c r="Y32" s="74"/>
      <c r="Z32" s="74"/>
      <c r="AA32" s="74"/>
      <c r="AB32" s="4"/>
      <c r="AC32" s="196"/>
      <c r="AD32" s="4"/>
    </row>
    <row r="33" ht="39.6" customHeight="1" spans="1:30">
      <c r="A33" s="5"/>
      <c r="B33" s="6"/>
      <c r="C33" s="446" t="s">
        <v>97</v>
      </c>
      <c r="D33" s="200">
        <f>$L$29-D32</f>
        <v>2.27</v>
      </c>
      <c r="E33" s="200">
        <f t="shared" ref="E33:M33" si="2">$L$29-E32</f>
        <v>2.193</v>
      </c>
      <c r="F33" s="200">
        <f t="shared" si="2"/>
        <v>2.116385</v>
      </c>
      <c r="G33" s="201">
        <f t="shared" si="2"/>
        <v>2.039</v>
      </c>
      <c r="H33" s="201">
        <f t="shared" si="2"/>
        <v>1.962</v>
      </c>
      <c r="I33" s="201">
        <f t="shared" si="2"/>
        <v>1.885</v>
      </c>
      <c r="J33" s="200">
        <f t="shared" si="2"/>
        <v>1.808</v>
      </c>
      <c r="K33" s="200">
        <f t="shared" si="2"/>
        <v>1.654</v>
      </c>
      <c r="L33" s="200">
        <f t="shared" si="2"/>
        <v>1.577</v>
      </c>
      <c r="M33" s="202">
        <f t="shared" si="2"/>
        <v>1.5</v>
      </c>
      <c r="N33" s="203"/>
      <c r="O33" s="203"/>
      <c r="P33" s="203"/>
      <c r="Q33" s="203"/>
      <c r="R33" s="203"/>
      <c r="S33" s="203"/>
      <c r="T33" s="10"/>
      <c r="U33" s="191"/>
      <c r="V33" s="204"/>
      <c r="W33" s="205"/>
      <c r="X33" s="74"/>
      <c r="Y33" s="74"/>
      <c r="Z33" s="74"/>
      <c r="AA33" s="74"/>
      <c r="AB33" s="4"/>
      <c r="AC33" s="196"/>
      <c r="AD33" s="4"/>
    </row>
    <row r="34" ht="36" customHeight="1" spans="1:30">
      <c r="A34" s="5"/>
      <c r="B34" s="6"/>
      <c r="C34" s="447" t="s">
        <v>98</v>
      </c>
      <c r="D34" s="209">
        <f>((4*$D$23/(1-$AA$13^2))*($E$10^4/$AA$5/$E$7/$E$7)*($AA$8^2)*(D31/$E$10)*(($AA$8^2)*($E$13/$E$10-D31/$E$10)*($E$13/$E$10-D31/2/$E$10)+1))*$D$29*W7*W6</f>
        <v>0</v>
      </c>
      <c r="E34" s="210">
        <f>((4*$D$23/(1-$AA$13^2))*($E$10^4/$AA$5/$E$7/$E$7)*($AA$8^2)*(E31/$E$10)*(($AA$8^2)*($E$13/$E$10-E31/$E$10)*($E$13/$E$10-E31/2/$E$10)+1))*$D$29*W6</f>
        <v>632.480146613441</v>
      </c>
      <c r="F34" s="210">
        <f>((4*$D$23/(1-$AA$13^2))*($E$10^4/$AA$5/$E$7/$E$7)*($AA$8^2)*(F31/$E$10)*(($AA$8^2)*($E$13/$E$10-F31/$E$10)*($E$13/$E$10-F31/2/$E$10)+1))*$D$29*W6</f>
        <v>1225.34073081585</v>
      </c>
      <c r="G34" s="211">
        <f>((4*$D$23/(1-$AA$13^2))*($E$10^4/$AA$5/$E$7/$E$7)*($AA$8^2)*(G31/$E$10)*(($AA$8^2)*($E$13/$E$10-G31/$E$10)*($E$13/$E$10-G31/2/$E$10)+1))*$D$29*W6</f>
        <v>1791.34486011544</v>
      </c>
      <c r="H34" s="211">
        <f>((4*$D$23/(1-$AA$13^2))*($E$10^4/$AA$5/$E$7/$E$7)*($AA$8^2)*(H31/$E$10)*(($AA$8^2)*($E$13/$E$10-H31/$E$10)*($E$13/$E$10-H31/2/$E$10)+1))*$D$29*W6</f>
        <v>2325.89062544437</v>
      </c>
      <c r="I34" s="211">
        <f>((4*$D$23/(1-$AA$13^2))*($E$10^4/$AA$5/$E$7/$E$7)*($AA$8^2)*(I31/$E$10)*(($AA$8^2)*($E$13/$E$10-I31/$E$10)*($E$13/$E$10-I31/2/$E$10)+1))*$D$29*W6</f>
        <v>2835.95279545217</v>
      </c>
      <c r="J34" s="210">
        <f>((4*$D$23/(1-$AA$13^2))*($E$10^4/$AA$5/$E$7/$E$7)*($AA$8^2)*(J31/$E$10)*(($AA$8^2)*($E$13/$E$10-J31/$E$10)*($E$13/$E$10-J31/2/$E$10)+1))*$D$29*W6</f>
        <v>3325.61196935903</v>
      </c>
      <c r="K34" s="210">
        <f>((4*$D$23/(1-$AA$13^2))*($E$10^4/$AA$5/$E$7/$E$7)*($AA$8^2)*(K31/$E$10)*(($AA$8^2)*($E$13/$E$10-K31/$E$10)*($E$13/$E$10-K31/2/$E$10)+1))*$D$29*W6</f>
        <v>4260.04372575068</v>
      </c>
      <c r="L34" s="210">
        <f>((4*$D$23/(1-$AA$13^2))*($E$10^4/$AA$5/$E$7/$E$7)*($AA$8^2)*(L31/$E$10)*(($AA$8^2)*($E$13/$E$10-L31/$E$10)*($E$13/$E$10-L31/2/$E$10)+1))*$D$29*W6</f>
        <v>4712.97750667585</v>
      </c>
      <c r="M34" s="212">
        <f>((4*$D$23/(1-$AA$13^2))*($E$10^4/$AA$5/$E$7/$E$7)*($AA$8^2)*(M31/$E$10)*(($AA$8^2)*($E$13/$E$10-M31/$E$10)*($E$13/$E$10-M31/2/$E$10)+1))*$D$29*W6</f>
        <v>5161.83068838083</v>
      </c>
      <c r="N34" s="213"/>
      <c r="O34" s="213"/>
      <c r="P34" s="213"/>
      <c r="Q34" s="213"/>
      <c r="R34" s="213"/>
      <c r="S34" s="213"/>
      <c r="T34" s="10"/>
      <c r="U34" s="191"/>
      <c r="V34" s="204"/>
      <c r="W34" s="74"/>
      <c r="X34" s="74"/>
      <c r="Y34" s="74"/>
      <c r="Z34" s="74"/>
      <c r="AA34" s="74"/>
      <c r="AB34" s="4"/>
      <c r="AC34" s="214"/>
      <c r="AD34" s="4"/>
    </row>
    <row r="35" ht="36" hidden="1" customHeight="1" spans="1:30">
      <c r="A35" s="5"/>
      <c r="B35" s="6"/>
      <c r="C35" s="447" t="s">
        <v>99</v>
      </c>
      <c r="D35" s="209">
        <f>D34/1000</f>
        <v>0</v>
      </c>
      <c r="E35" s="209">
        <f t="shared" ref="E35:M35" si="3">E34/1000</f>
        <v>0.632480146613441</v>
      </c>
      <c r="F35" s="209">
        <f t="shared" si="3"/>
        <v>1.22534073081585</v>
      </c>
      <c r="G35" s="215">
        <f t="shared" si="3"/>
        <v>1.79134486011544</v>
      </c>
      <c r="H35" s="215">
        <f t="shared" si="3"/>
        <v>2.32589062544437</v>
      </c>
      <c r="I35" s="215">
        <f t="shared" si="3"/>
        <v>2.83595279545217</v>
      </c>
      <c r="J35" s="209">
        <f t="shared" si="3"/>
        <v>3.32561196935903</v>
      </c>
      <c r="K35" s="216">
        <f t="shared" si="3"/>
        <v>4.26004372575068</v>
      </c>
      <c r="L35" s="209">
        <f t="shared" si="3"/>
        <v>4.71297750667585</v>
      </c>
      <c r="M35" s="217">
        <f t="shared" si="3"/>
        <v>5.16183068838083</v>
      </c>
      <c r="N35" s="213"/>
      <c r="O35" s="213"/>
      <c r="P35" s="213"/>
      <c r="Q35" s="213"/>
      <c r="R35" s="213"/>
      <c r="S35" s="213"/>
      <c r="T35" s="10"/>
      <c r="U35" s="191"/>
      <c r="V35" s="204"/>
      <c r="W35" s="74"/>
      <c r="X35" s="218"/>
      <c r="Y35" s="74"/>
      <c r="Z35" s="74"/>
      <c r="AA35" s="74"/>
      <c r="AB35" s="4"/>
      <c r="AC35" s="214"/>
      <c r="AD35" s="4"/>
    </row>
    <row r="36" ht="37" customHeight="1" spans="1:30">
      <c r="A36" s="5"/>
      <c r="B36" s="6"/>
      <c r="C36" s="447" t="s">
        <v>100</v>
      </c>
      <c r="D36" s="210">
        <f>($E$7-$E$8)/(($E$7-$E$8)-3*$W$7)*((4*$D$23/(1-$AA$13^2))*($E$10^3/$AA$5/$E$7/$E$7)*$AA$8*$AA$8*(($AA$8^2)*(($E$13/$E$10)^2-3*($E$13/$E$10)*(D31/$E$10)+1.5*(D31/$E$10)^2)+1))*D29/H29</f>
        <v>8470.16938758896</v>
      </c>
      <c r="E36" s="210">
        <f t="shared" ref="E36:M36" si="4">($E$7-$E$8)/(($E$7-$E$8)-3*$W$7)*((4*$D$23/(1-$AA$13^2))*($E$10^3/$AA$5/$E$7/$E$7)*$AA$8*$AA$8*(($AA$8^2)*(($E$13/$E$10)^2-3*($E$13/$E$10)*(E31/$E$10)+1.5*(E31/$E$10)^2)+1))*$D$29/$H$29</f>
        <v>7966.71883444888</v>
      </c>
      <c r="F36" s="210">
        <f t="shared" si="4"/>
        <v>7518.38353061382</v>
      </c>
      <c r="G36" s="211">
        <f t="shared" si="4"/>
        <v>7118.80211337086</v>
      </c>
      <c r="H36" s="211">
        <f t="shared" si="4"/>
        <v>6774.33594543291</v>
      </c>
      <c r="I36" s="211">
        <f t="shared" si="4"/>
        <v>6482.86457256234</v>
      </c>
      <c r="J36" s="210">
        <f t="shared" si="4"/>
        <v>6244.38799475915</v>
      </c>
      <c r="K36" s="219">
        <f t="shared" si="4"/>
        <v>5926.41922435489</v>
      </c>
      <c r="L36" s="210">
        <f t="shared" si="4"/>
        <v>5846.92703175382</v>
      </c>
      <c r="M36" s="212">
        <f t="shared" si="4"/>
        <v>5820.42963422013</v>
      </c>
      <c r="N36" s="213"/>
      <c r="O36" s="213"/>
      <c r="P36" s="213"/>
      <c r="Q36" s="213"/>
      <c r="R36" s="213"/>
      <c r="S36" s="213"/>
      <c r="T36" s="10"/>
      <c r="U36" s="191"/>
      <c r="V36" s="204"/>
      <c r="W36" s="74"/>
      <c r="X36" s="74"/>
      <c r="Y36" s="74"/>
      <c r="Z36" s="74"/>
      <c r="AA36" s="74"/>
      <c r="AB36" s="4"/>
      <c r="AC36" s="214"/>
      <c r="AD36" s="4"/>
    </row>
    <row r="37" ht="39" hidden="1" customHeight="1" spans="1:30">
      <c r="A37" s="5"/>
      <c r="B37" s="6"/>
      <c r="C37" s="220" t="s">
        <v>101</v>
      </c>
      <c r="D37" s="215">
        <f>($E$7-$E$8)/(($E$7-$E$8)-3*$W$7)*((4*$D$23/(1-$AA$13^2))*($E$10^3/$AA$5/$E$7/$E$7)*$AA$8*$AA$8*(($AA$8^2)*(($E$13/$E$10)^2-3*($E$13/$E$10)*(D31/$E$10)+1.5*(D31/$E$10)^2)+1))/1000*D29/H29</f>
        <v>8.47016938758896</v>
      </c>
      <c r="E37" s="215">
        <f>($E$7-$E$8)/(($E$7-$E$8)-3*$W$7)*((4*$D$23/(1-$AA$13^2))*($E$10^3/$AA$5/$E$7/$E$7)*$AA$8*$AA$8*(($AA$8^2)*(($E$13/$E$10)^2-3*($E$13/$E$10)*(E31/$E$10)+1.5*(E31/$E$10)^2)+1))/1000*$D$29/$H$29</f>
        <v>7.96671883444888</v>
      </c>
      <c r="F37" s="215">
        <f t="shared" ref="F37:M37" si="5">($E$7-$E$8)/(($E$7-$E$8)-3*$W$7)*((4*$D$23/(1-$AA$13^2))*($E$10^3/$AA$5/$E$7/$E$7)*$AA$8*$AA$8*(($AA$8^2)*(($E$13/$E$10)^2-3*($E$13/$E$10)*(F31/$E$10)+1.5*(F31/$E$10)^2)+1))/1000*$D$29/$H$29</f>
        <v>7.51838353061382</v>
      </c>
      <c r="G37" s="215">
        <f t="shared" si="5"/>
        <v>7.11880211337086</v>
      </c>
      <c r="H37" s="209">
        <f t="shared" si="5"/>
        <v>6.77433594543291</v>
      </c>
      <c r="I37" s="215">
        <f t="shared" si="5"/>
        <v>6.48286457256234</v>
      </c>
      <c r="J37" s="209">
        <f t="shared" si="5"/>
        <v>6.24438799475915</v>
      </c>
      <c r="K37" s="215">
        <f t="shared" si="5"/>
        <v>5.92641922435489</v>
      </c>
      <c r="L37" s="215">
        <f t="shared" si="5"/>
        <v>5.84692703175382</v>
      </c>
      <c r="M37" s="223">
        <f t="shared" si="5"/>
        <v>5.82042963422013</v>
      </c>
      <c r="N37" s="224"/>
      <c r="O37" s="224"/>
      <c r="P37" s="224"/>
      <c r="Q37" s="224"/>
      <c r="R37" s="224"/>
      <c r="S37" s="224"/>
      <c r="T37" s="10"/>
      <c r="U37" s="191"/>
      <c r="V37" s="74"/>
      <c r="W37" s="74"/>
      <c r="X37" s="74"/>
      <c r="Y37" s="74"/>
      <c r="Z37" s="74"/>
      <c r="AA37" s="74"/>
      <c r="AB37" s="4"/>
      <c r="AC37" s="214"/>
      <c r="AD37" s="4"/>
    </row>
    <row r="38" customHeight="1" spans="1:30">
      <c r="A38" s="5"/>
      <c r="B38" s="6"/>
      <c r="C38" s="225" t="s">
        <v>102</v>
      </c>
      <c r="D38" s="227"/>
      <c r="E38" s="228"/>
      <c r="F38" s="227"/>
      <c r="G38" s="227"/>
      <c r="H38" s="227"/>
      <c r="I38" s="227"/>
      <c r="J38" s="227"/>
      <c r="K38" s="227"/>
      <c r="L38" s="227"/>
      <c r="M38" s="229"/>
      <c r="N38" s="230"/>
      <c r="O38" s="230"/>
      <c r="P38" s="230"/>
      <c r="Q38" s="230"/>
      <c r="R38" s="230"/>
      <c r="S38" s="230"/>
      <c r="T38" s="10"/>
      <c r="U38" s="191"/>
      <c r="V38" s="74"/>
      <c r="W38" s="74"/>
      <c r="X38" s="74"/>
      <c r="Y38" s="74"/>
      <c r="Z38" s="74"/>
      <c r="AA38" s="74"/>
      <c r="AB38" s="4"/>
      <c r="AC38" s="214"/>
      <c r="AD38" s="4"/>
    </row>
    <row r="39" ht="12" customHeight="1" spans="1:30">
      <c r="A39" s="5"/>
      <c r="B39" s="6"/>
      <c r="C39" s="231">
        <f>3.1415926*0.25*(E7^2-E8^2)</f>
        <v>380.6903372865</v>
      </c>
      <c r="D39" s="232"/>
      <c r="E39" s="233"/>
      <c r="F39" s="232"/>
      <c r="G39" s="232"/>
      <c r="H39" s="232"/>
      <c r="I39" s="232"/>
      <c r="J39" s="232"/>
      <c r="K39" s="232"/>
      <c r="L39" s="232"/>
      <c r="M39" s="234"/>
      <c r="N39" s="235"/>
      <c r="O39" s="235"/>
      <c r="P39" s="235"/>
      <c r="Q39" s="235"/>
      <c r="R39" s="235"/>
      <c r="S39" s="235"/>
      <c r="T39" s="236"/>
      <c r="U39" s="237"/>
      <c r="V39" s="74"/>
      <c r="W39" s="74"/>
      <c r="X39" s="74"/>
      <c r="Y39" s="74"/>
      <c r="Z39" s="74"/>
      <c r="AA39" s="74"/>
      <c r="AB39" s="4"/>
      <c r="AC39" s="214"/>
      <c r="AD39" s="4"/>
    </row>
    <row r="40" ht="15" customHeight="1" spans="1:30">
      <c r="A40" s="5"/>
      <c r="B40" s="6"/>
      <c r="C40" s="238"/>
      <c r="D40" s="240"/>
      <c r="E40" s="241"/>
      <c r="F40" s="240"/>
      <c r="G40" s="240"/>
      <c r="H40" s="240"/>
      <c r="I40" s="240"/>
      <c r="J40" s="240"/>
      <c r="K40" s="240"/>
      <c r="L40" s="240"/>
      <c r="M40" s="242"/>
      <c r="N40" s="243"/>
      <c r="O40" s="243"/>
      <c r="P40" s="243"/>
      <c r="Q40" s="243"/>
      <c r="R40" s="243"/>
      <c r="S40" s="243"/>
      <c r="T40" s="236"/>
      <c r="U40" s="237"/>
      <c r="V40" s="74"/>
      <c r="W40" s="74"/>
      <c r="X40" s="74"/>
      <c r="Y40" s="74"/>
      <c r="Z40" s="74"/>
      <c r="AA40" s="74"/>
      <c r="AB40" s="4"/>
      <c r="AC40" s="214"/>
      <c r="AD40" s="4"/>
    </row>
    <row r="41" ht="31" customHeight="1" spans="1:30">
      <c r="A41" s="5"/>
      <c r="B41" s="6"/>
      <c r="C41" s="244"/>
      <c r="D41" s="244"/>
      <c r="E41" s="245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36"/>
      <c r="U41" s="9"/>
      <c r="V41" s="10"/>
      <c r="W41" s="8"/>
      <c r="X41" s="10"/>
      <c r="Y41" s="10"/>
      <c r="Z41" s="10"/>
      <c r="AA41" s="10"/>
    </row>
    <row r="42" spans="1:30">
      <c r="A42" s="5"/>
      <c r="B42" s="5"/>
      <c r="C42" s="9"/>
      <c r="D42" s="9"/>
      <c r="E42" s="10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236"/>
      <c r="U42" s="9"/>
      <c r="V42" s="10"/>
      <c r="W42" s="8"/>
      <c r="X42" s="10"/>
      <c r="Y42" s="10"/>
      <c r="Z42" s="10"/>
      <c r="AA42" s="10"/>
    </row>
    <row r="43" spans="1:30">
      <c r="A43" s="5"/>
      <c r="B43" s="5"/>
      <c r="C43" s="9"/>
      <c r="D43" s="9"/>
      <c r="E43" s="1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8"/>
      <c r="U43" s="9"/>
      <c r="V43" s="10"/>
      <c r="W43" s="8"/>
      <c r="X43" s="10"/>
      <c r="Y43" s="10"/>
      <c r="Z43" s="10"/>
      <c r="AA43" s="10"/>
    </row>
    <row r="44" spans="1:30">
      <c r="A44" s="5"/>
      <c r="B44" s="5"/>
      <c r="C44" s="9"/>
      <c r="D44" s="9"/>
      <c r="E44" s="10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8"/>
      <c r="U44" s="9"/>
      <c r="V44" s="10"/>
      <c r="W44" s="8"/>
      <c r="X44" s="10"/>
      <c r="Y44" s="10"/>
      <c r="Z44" s="10"/>
      <c r="AA44" s="10"/>
    </row>
    <row r="45" spans="1:30">
      <c r="A45" s="5"/>
      <c r="B45" s="5"/>
      <c r="C45" s="9"/>
      <c r="D45" s="9"/>
      <c r="E45" s="10"/>
      <c r="F45" s="84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8"/>
      <c r="U45" s="9"/>
      <c r="V45" s="10"/>
      <c r="W45" s="8"/>
      <c r="X45" s="10"/>
      <c r="Y45" s="10"/>
      <c r="Z45" s="10"/>
      <c r="AA45" s="10"/>
    </row>
    <row r="46" spans="1:30">
      <c r="A46" s="5"/>
      <c r="B46" s="5"/>
      <c r="C46" s="9"/>
      <c r="D46" s="9"/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8"/>
      <c r="U46" s="9"/>
      <c r="V46" s="10"/>
      <c r="W46" s="8"/>
      <c r="X46" s="10"/>
      <c r="Y46" s="10"/>
      <c r="Z46" s="10"/>
      <c r="AA46" s="10"/>
    </row>
    <row r="47" spans="1:30">
      <c r="A47" s="5"/>
      <c r="B47" s="5"/>
      <c r="C47" s="9"/>
      <c r="D47" s="9"/>
      <c r="E47" s="10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8"/>
      <c r="U47" s="9"/>
      <c r="V47" s="10"/>
      <c r="W47" s="8"/>
      <c r="X47" s="10"/>
      <c r="Y47" s="10"/>
      <c r="Z47" s="10"/>
      <c r="AA47" s="10"/>
    </row>
    <row r="48" spans="1:30">
      <c r="A48" s="5"/>
      <c r="B48" s="5"/>
      <c r="C48" s="9"/>
      <c r="D48" s="9"/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8"/>
      <c r="U48" s="9"/>
      <c r="V48" s="10"/>
      <c r="W48" s="8"/>
      <c r="X48" s="10"/>
      <c r="Y48" s="10"/>
      <c r="Z48" s="10"/>
      <c r="AA48" s="10"/>
    </row>
    <row r="49" spans="1:27">
      <c r="A49" s="5"/>
      <c r="B49" s="5"/>
      <c r="C49" s="9"/>
      <c r="D49" s="9"/>
      <c r="E49" s="10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8"/>
      <c r="U49" s="9"/>
      <c r="V49" s="10"/>
      <c r="W49" s="8"/>
      <c r="X49" s="10"/>
      <c r="Y49" s="10"/>
      <c r="Z49" s="10"/>
      <c r="AA49" s="10"/>
    </row>
    <row r="50" spans="1:27">
      <c r="A50" s="5"/>
      <c r="B50" s="5"/>
      <c r="C50" s="9"/>
      <c r="D50" s="9"/>
      <c r="E50" s="10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8"/>
      <c r="U50" s="9"/>
      <c r="V50" s="10"/>
      <c r="W50" s="8"/>
      <c r="X50" s="10"/>
      <c r="Y50" s="10"/>
      <c r="Z50" s="10"/>
      <c r="AA50" s="10"/>
    </row>
    <row r="51" spans="1:27">
      <c r="A51" s="5"/>
      <c r="B51" s="5"/>
      <c r="C51" s="9"/>
      <c r="D51" s="9"/>
      <c r="E51" s="10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8"/>
      <c r="U51" s="9"/>
      <c r="V51" s="10"/>
      <c r="W51" s="8"/>
      <c r="X51" s="10"/>
      <c r="Y51" s="10"/>
      <c r="Z51" s="10"/>
      <c r="AA51" s="10"/>
    </row>
    <row r="52" spans="1:27">
      <c r="A52" s="5"/>
      <c r="B52" s="5"/>
      <c r="C52" s="9"/>
      <c r="D52" s="9"/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8"/>
      <c r="U52" s="9"/>
      <c r="V52" s="10"/>
      <c r="W52" s="8"/>
      <c r="X52" s="10"/>
      <c r="Y52" s="10"/>
      <c r="Z52" s="10"/>
      <c r="AA52" s="10"/>
    </row>
    <row r="53" spans="1:27">
      <c r="A53" s="5"/>
      <c r="B53" s="5"/>
      <c r="C53" s="9"/>
      <c r="D53" s="9"/>
      <c r="E53" s="10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8"/>
      <c r="U53" s="9"/>
      <c r="V53" s="10"/>
      <c r="W53" s="8"/>
      <c r="X53" s="10"/>
      <c r="Y53" s="10"/>
      <c r="Z53" s="10"/>
      <c r="AA53" s="10"/>
    </row>
    <row r="54" spans="1:27">
      <c r="A54" s="5"/>
      <c r="B54" s="5"/>
      <c r="C54" s="9"/>
      <c r="D54" s="9"/>
      <c r="E54" s="10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8"/>
      <c r="U54" s="9"/>
      <c r="V54" s="10"/>
      <c r="W54" s="10"/>
      <c r="X54" s="10"/>
      <c r="Y54" s="10"/>
      <c r="Z54" s="10"/>
      <c r="AA54" s="10"/>
    </row>
    <row r="55" spans="1:27">
      <c r="A55" s="5"/>
      <c r="B55" s="5"/>
      <c r="C55" s="9"/>
      <c r="D55" s="9"/>
      <c r="E55" s="10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8"/>
      <c r="U55" s="9"/>
      <c r="V55" s="10"/>
      <c r="W55" s="10"/>
      <c r="X55" s="10"/>
      <c r="Y55" s="10"/>
      <c r="Z55" s="10"/>
      <c r="AA55" s="10"/>
    </row>
    <row r="56" spans="1:27">
      <c r="A56" s="5"/>
      <c r="B56" s="5"/>
      <c r="C56" s="9"/>
      <c r="D56" s="9"/>
      <c r="E56" s="10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8"/>
      <c r="U56" s="9"/>
      <c r="V56" s="10"/>
      <c r="W56" s="10"/>
      <c r="X56" s="10"/>
      <c r="Y56" s="10"/>
      <c r="Z56" s="10"/>
      <c r="AA56" s="10"/>
    </row>
    <row r="57" spans="1:27">
      <c r="A57" s="5"/>
      <c r="B57" s="5"/>
      <c r="C57" s="9"/>
      <c r="D57" s="9"/>
      <c r="E57" s="10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8"/>
      <c r="U57" s="9"/>
      <c r="V57" s="10"/>
      <c r="W57" s="10"/>
      <c r="X57" s="10"/>
      <c r="Y57" s="10"/>
      <c r="Z57" s="10"/>
      <c r="AA57" s="10"/>
    </row>
    <row r="58" spans="1:27">
      <c r="A58" s="5"/>
      <c r="B58" s="5"/>
      <c r="C58" s="9"/>
      <c r="D58" s="9"/>
      <c r="E58" s="10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8"/>
      <c r="U58" s="9"/>
      <c r="V58" s="10"/>
      <c r="W58" s="10"/>
      <c r="X58" s="10"/>
      <c r="Y58" s="10"/>
      <c r="Z58" s="10"/>
      <c r="AA58" s="10"/>
    </row>
    <row r="59" spans="1:27">
      <c r="A59" s="5"/>
      <c r="B59" s="5"/>
      <c r="C59" s="9"/>
      <c r="D59" s="9"/>
      <c r="E59" s="1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8"/>
      <c r="U59" s="9"/>
      <c r="V59" s="10"/>
      <c r="W59" s="10"/>
      <c r="X59" s="10"/>
      <c r="Y59" s="10"/>
      <c r="Z59" s="10"/>
      <c r="AA59" s="10"/>
    </row>
    <row r="60" spans="1:27">
      <c r="A60" s="5"/>
      <c r="B60" s="5"/>
      <c r="C60" s="9"/>
      <c r="D60" s="9"/>
      <c r="E60" s="10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8"/>
      <c r="U60" s="9"/>
      <c r="V60" s="10"/>
      <c r="W60" s="10"/>
      <c r="X60" s="10"/>
      <c r="Y60" s="10"/>
      <c r="Z60" s="10"/>
      <c r="AA60" s="10"/>
    </row>
    <row r="61" spans="1:27">
      <c r="A61" s="5"/>
      <c r="B61" s="5"/>
      <c r="C61" s="9"/>
      <c r="D61" s="9"/>
      <c r="E61" s="10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8"/>
      <c r="U61" s="9"/>
      <c r="V61" s="10"/>
      <c r="W61" s="10"/>
      <c r="X61" s="10"/>
      <c r="Y61" s="10"/>
      <c r="Z61" s="10"/>
      <c r="AA61" s="10"/>
    </row>
    <row r="62" spans="1:27">
      <c r="A62" s="5"/>
      <c r="B62" s="5"/>
      <c r="C62" s="9"/>
      <c r="D62" s="9"/>
      <c r="E62" s="10"/>
      <c r="F62" s="9"/>
      <c r="G62" s="9"/>
      <c r="H62" s="9"/>
      <c r="I62" s="9">
        <v>0.15</v>
      </c>
      <c r="J62" s="9">
        <v>150</v>
      </c>
      <c r="K62" s="9"/>
      <c r="L62" s="9"/>
      <c r="M62" s="9"/>
      <c r="N62" s="9"/>
      <c r="O62" s="9"/>
      <c r="P62" s="9"/>
      <c r="Q62" s="9"/>
      <c r="R62" s="9"/>
      <c r="S62" s="9"/>
      <c r="T62" s="8"/>
      <c r="U62" s="9"/>
      <c r="V62" s="10"/>
      <c r="W62" s="10"/>
      <c r="X62" s="10"/>
      <c r="Y62" s="10"/>
      <c r="Z62" s="10"/>
      <c r="AA62" s="10"/>
    </row>
    <row r="63" spans="1:27">
      <c r="A63" s="5"/>
      <c r="B63" s="5"/>
      <c r="C63" s="9"/>
      <c r="D63" s="9"/>
      <c r="E63" s="10"/>
      <c r="F63" s="9"/>
      <c r="G63" s="9"/>
      <c r="H63" s="9"/>
      <c r="I63" s="9">
        <v>0.4</v>
      </c>
      <c r="J63" s="9">
        <v>400</v>
      </c>
      <c r="K63" s="9"/>
      <c r="L63" s="9"/>
      <c r="M63" s="9"/>
      <c r="N63" s="9"/>
      <c r="O63" s="9"/>
      <c r="P63" s="9"/>
      <c r="Q63" s="9"/>
      <c r="R63" s="9"/>
      <c r="S63" s="9"/>
      <c r="T63" s="8"/>
      <c r="U63" s="9"/>
      <c r="V63" s="10"/>
      <c r="W63" s="10"/>
      <c r="X63" s="10"/>
      <c r="Y63" s="10"/>
      <c r="Z63" s="10"/>
      <c r="AA63" s="10"/>
    </row>
    <row r="64" spans="1:27">
      <c r="A64" s="5"/>
      <c r="B64" s="5"/>
      <c r="C64" s="9"/>
      <c r="D64" s="9"/>
      <c r="E64" s="10"/>
      <c r="F64" s="9"/>
      <c r="G64" s="9"/>
      <c r="H64" s="9"/>
      <c r="I64" s="9">
        <v>0.8</v>
      </c>
      <c r="J64" s="9">
        <v>750</v>
      </c>
      <c r="K64" s="9"/>
      <c r="L64" s="9"/>
      <c r="M64" s="9"/>
      <c r="N64" s="9"/>
      <c r="O64" s="9"/>
      <c r="P64" s="9"/>
      <c r="Q64" s="9"/>
      <c r="R64" s="9"/>
      <c r="S64" s="9"/>
      <c r="T64" s="8"/>
      <c r="U64" s="9"/>
      <c r="V64" s="10"/>
      <c r="W64" s="10"/>
      <c r="X64" s="10"/>
      <c r="Y64" s="10"/>
      <c r="Z64" s="10"/>
      <c r="AA64" s="10"/>
    </row>
    <row r="65" spans="1:27">
      <c r="A65" s="5"/>
      <c r="B65" s="5"/>
      <c r="C65" s="9"/>
      <c r="D65" s="9"/>
      <c r="E65" s="10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8"/>
      <c r="U65" s="9"/>
      <c r="V65" s="10"/>
      <c r="W65" s="10"/>
      <c r="X65" s="10"/>
      <c r="Y65" s="10"/>
      <c r="Z65" s="10"/>
      <c r="AA65" s="10"/>
    </row>
    <row r="66" spans="1:27">
      <c r="A66" s="5"/>
      <c r="B66" s="5"/>
      <c r="C66" s="9"/>
      <c r="D66" s="9"/>
      <c r="E66" s="10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8"/>
      <c r="U66" s="9"/>
      <c r="V66" s="10"/>
      <c r="W66" s="10"/>
      <c r="X66" s="10"/>
      <c r="Y66" s="10"/>
      <c r="Z66" s="10"/>
      <c r="AA66" s="10"/>
    </row>
    <row r="67" spans="1:27">
      <c r="A67" s="5"/>
      <c r="B67" s="5"/>
      <c r="C67" s="9"/>
      <c r="D67" s="9"/>
      <c r="E67" s="10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8"/>
      <c r="U67" s="9"/>
      <c r="V67" s="10"/>
      <c r="W67" s="10"/>
      <c r="X67" s="10"/>
      <c r="Y67" s="10"/>
      <c r="Z67" s="10"/>
      <c r="AA67" s="10"/>
    </row>
    <row r="68" spans="1:27">
      <c r="A68" s="5"/>
      <c r="B68" s="5"/>
      <c r="C68" s="9"/>
      <c r="D68" s="9"/>
      <c r="E68" s="10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8"/>
      <c r="U68" s="9"/>
      <c r="V68" s="10"/>
      <c r="W68" s="10"/>
      <c r="X68" s="10"/>
      <c r="Y68" s="10"/>
      <c r="Z68" s="10"/>
      <c r="AA68" s="10"/>
    </row>
    <row r="69" spans="1:27">
      <c r="A69" s="5"/>
      <c r="B69" s="5"/>
      <c r="C69" s="9"/>
      <c r="D69" s="9"/>
      <c r="E69" s="10"/>
      <c r="F69" s="9"/>
      <c r="G69" s="9"/>
      <c r="H69" s="9"/>
      <c r="I69" s="246" t="s">
        <v>103</v>
      </c>
      <c r="J69" s="246"/>
      <c r="K69" s="9"/>
      <c r="L69" s="9"/>
      <c r="M69" s="9"/>
      <c r="N69" s="9"/>
      <c r="O69" s="9"/>
      <c r="P69" s="9"/>
      <c r="Q69" s="9"/>
      <c r="R69" s="9"/>
      <c r="S69" s="9"/>
      <c r="T69" s="8"/>
      <c r="U69" s="9"/>
      <c r="V69" s="10"/>
      <c r="W69" s="10"/>
      <c r="X69" s="10"/>
      <c r="Y69" s="10"/>
      <c r="Z69" s="10"/>
      <c r="AA69" s="10"/>
    </row>
    <row r="70" spans="1:27">
      <c r="A70" s="5"/>
      <c r="B70" s="5"/>
      <c r="C70" s="9"/>
      <c r="D70" s="9"/>
      <c r="E70" s="10"/>
      <c r="F70" s="9"/>
      <c r="G70" s="9"/>
      <c r="H70" s="9"/>
      <c r="I70" s="246">
        <v>0.15</v>
      </c>
      <c r="J70" s="246">
        <v>251</v>
      </c>
      <c r="K70" s="9"/>
      <c r="L70" s="9"/>
      <c r="M70" s="9"/>
      <c r="N70" s="9"/>
      <c r="O70" s="9"/>
      <c r="P70" s="9"/>
      <c r="Q70" s="9"/>
      <c r="R70" s="9"/>
      <c r="S70" s="9"/>
      <c r="T70" s="8"/>
      <c r="U70" s="9"/>
      <c r="V70" s="10"/>
      <c r="W70" s="10"/>
      <c r="X70" s="10"/>
      <c r="Y70" s="10"/>
      <c r="Z70" s="10"/>
      <c r="AA70" s="10"/>
    </row>
    <row r="71" spans="1:27">
      <c r="A71" s="5"/>
      <c r="B71" s="5"/>
      <c r="C71" s="9"/>
      <c r="D71" s="9"/>
      <c r="E71" s="10"/>
      <c r="F71" s="9"/>
      <c r="G71" s="9"/>
      <c r="H71" s="9"/>
      <c r="I71" s="246">
        <v>0.4</v>
      </c>
      <c r="J71" s="246">
        <v>523</v>
      </c>
      <c r="K71" s="9"/>
      <c r="L71" s="9"/>
      <c r="M71" s="9"/>
      <c r="N71" s="9"/>
      <c r="O71" s="9"/>
      <c r="P71" s="9"/>
      <c r="Q71" s="9"/>
      <c r="R71" s="9"/>
      <c r="S71" s="9"/>
      <c r="T71" s="8"/>
      <c r="U71" s="9"/>
      <c r="V71" s="10"/>
      <c r="W71" s="10"/>
      <c r="X71" s="10"/>
      <c r="Y71" s="10"/>
      <c r="Z71" s="10"/>
      <c r="AA71" s="10"/>
    </row>
    <row r="72" spans="1:27">
      <c r="A72" s="5"/>
      <c r="B72" s="5"/>
      <c r="C72" s="9"/>
      <c r="D72" s="9"/>
      <c r="E72" s="10"/>
      <c r="F72" s="9"/>
      <c r="G72" s="9"/>
      <c r="H72" s="9"/>
      <c r="I72" s="246">
        <v>0.8</v>
      </c>
      <c r="J72" s="246">
        <v>755</v>
      </c>
      <c r="K72" s="9"/>
      <c r="L72" s="9"/>
      <c r="M72" s="9"/>
      <c r="N72" s="9"/>
      <c r="O72" s="9"/>
      <c r="P72" s="9"/>
      <c r="Q72" s="9"/>
      <c r="R72" s="9"/>
      <c r="S72" s="9"/>
      <c r="T72" s="8"/>
      <c r="U72" s="9"/>
      <c r="V72" s="10"/>
      <c r="W72" s="10"/>
      <c r="X72" s="10"/>
      <c r="Y72" s="10"/>
      <c r="Z72" s="10"/>
      <c r="AA72" s="10"/>
    </row>
    <row r="73" spans="1:27">
      <c r="A73" s="5"/>
      <c r="B73" s="5"/>
      <c r="C73" s="9"/>
      <c r="D73" s="9"/>
      <c r="E73" s="10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8"/>
      <c r="U73" s="9"/>
      <c r="V73" s="10"/>
      <c r="W73" s="10"/>
      <c r="X73" s="10"/>
      <c r="Y73" s="10"/>
      <c r="Z73" s="10"/>
      <c r="AA73" s="10"/>
    </row>
    <row r="74" spans="1:27">
      <c r="A74" s="5"/>
      <c r="B74" s="5"/>
      <c r="C74" s="9"/>
      <c r="D74" s="9"/>
      <c r="E74" s="10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8"/>
      <c r="U74" s="9"/>
      <c r="V74" s="10"/>
      <c r="W74" s="10"/>
      <c r="X74" s="10"/>
      <c r="Y74" s="10"/>
      <c r="Z74" s="10"/>
      <c r="AA74" s="10"/>
    </row>
    <row r="75" spans="1:27">
      <c r="A75" s="5"/>
      <c r="B75" s="5"/>
      <c r="C75" s="9"/>
      <c r="D75" s="9"/>
      <c r="E75" s="10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8"/>
      <c r="U75" s="9"/>
      <c r="V75" s="10"/>
      <c r="W75" s="10"/>
      <c r="X75" s="10"/>
      <c r="Y75" s="10"/>
      <c r="Z75" s="10"/>
      <c r="AA75" s="10"/>
    </row>
    <row r="76" spans="1:27">
      <c r="A76" s="5"/>
      <c r="B76" s="5"/>
      <c r="C76" s="9"/>
      <c r="D76" s="9"/>
      <c r="E76" s="10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8"/>
      <c r="U76" s="9"/>
      <c r="V76" s="10"/>
      <c r="W76" s="10"/>
      <c r="X76" s="10"/>
      <c r="Y76" s="10"/>
      <c r="Z76" s="10"/>
      <c r="AA76" s="10"/>
    </row>
    <row r="77" spans="1:27">
      <c r="A77" s="5"/>
      <c r="B77" s="5"/>
      <c r="C77" s="9"/>
      <c r="D77" s="9"/>
      <c r="E77" s="10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8"/>
      <c r="U77" s="9"/>
      <c r="V77" s="10"/>
      <c r="W77" s="10"/>
      <c r="X77" s="10"/>
      <c r="Y77" s="10"/>
      <c r="Z77" s="10"/>
      <c r="AA77" s="10"/>
    </row>
    <row r="78" spans="1:27">
      <c r="A78" s="5"/>
      <c r="B78" s="5"/>
      <c r="C78" s="9"/>
      <c r="D78" s="9"/>
      <c r="E78" s="1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8"/>
      <c r="U78" s="9"/>
      <c r="V78" s="10"/>
      <c r="W78" s="10"/>
      <c r="X78" s="10"/>
      <c r="Y78" s="10"/>
      <c r="Z78" s="10"/>
      <c r="AA78" s="10"/>
    </row>
    <row r="79" spans="1:27">
      <c r="A79" s="5"/>
      <c r="B79" s="5"/>
      <c r="C79" s="9"/>
      <c r="D79" s="9"/>
      <c r="E79" s="10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8"/>
      <c r="U79" s="9"/>
      <c r="V79" s="10"/>
      <c r="W79" s="10"/>
      <c r="X79" s="10"/>
      <c r="Y79" s="10"/>
      <c r="Z79" s="10"/>
      <c r="AA79" s="10"/>
    </row>
    <row r="80" spans="1:27">
      <c r="A80" s="5"/>
      <c r="B80" s="5"/>
      <c r="C80" s="9"/>
      <c r="D80" s="9"/>
      <c r="E80" s="10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8"/>
      <c r="U80" s="9"/>
      <c r="V80" s="10"/>
      <c r="W80" s="10"/>
      <c r="X80" s="10"/>
      <c r="Y80" s="10"/>
      <c r="Z80" s="10"/>
      <c r="AA80" s="10"/>
    </row>
    <row r="81" spans="1:27">
      <c r="A81" s="5"/>
      <c r="B81" s="5"/>
      <c r="C81" s="9"/>
      <c r="D81" s="9"/>
      <c r="E81" s="1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8"/>
      <c r="U81" s="9"/>
      <c r="V81" s="10"/>
      <c r="W81" s="10"/>
      <c r="X81" s="10"/>
      <c r="Y81" s="10"/>
      <c r="Z81" s="10"/>
      <c r="AA81" s="10"/>
    </row>
    <row r="82" spans="1:27">
      <c r="A82" s="5"/>
      <c r="B82" s="5"/>
      <c r="C82" s="9"/>
      <c r="D82" s="9"/>
      <c r="E82" s="10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8"/>
      <c r="U82" s="9"/>
      <c r="V82" s="10"/>
      <c r="W82" s="10"/>
      <c r="X82" s="10"/>
      <c r="Y82" s="10"/>
      <c r="Z82" s="10"/>
      <c r="AA82" s="10"/>
    </row>
    <row r="83" spans="1:27">
      <c r="A83" s="5"/>
      <c r="B83" s="5"/>
      <c r="C83" s="9"/>
      <c r="D83" s="9"/>
      <c r="E83" s="10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8"/>
      <c r="U83" s="9"/>
      <c r="V83" s="10"/>
      <c r="W83" s="10"/>
      <c r="X83" s="10"/>
      <c r="Y83" s="10"/>
      <c r="Z83" s="10"/>
      <c r="AA83" s="10"/>
    </row>
    <row r="84" spans="1:27">
      <c r="A84" s="5"/>
      <c r="B84" s="5"/>
      <c r="C84" s="9"/>
      <c r="D84" s="9"/>
      <c r="E84" s="10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8"/>
      <c r="U84" s="9"/>
      <c r="V84" s="10"/>
      <c r="W84" s="10"/>
      <c r="X84" s="10"/>
      <c r="Y84" s="10"/>
      <c r="Z84" s="10"/>
      <c r="AA84" s="10"/>
    </row>
    <row r="85" spans="1:27">
      <c r="A85" s="5"/>
      <c r="B85" s="5"/>
      <c r="C85" s="9"/>
      <c r="D85" s="9"/>
      <c r="E85" s="10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8"/>
      <c r="U85" s="9"/>
      <c r="V85" s="10"/>
      <c r="W85" s="10"/>
      <c r="X85" s="10"/>
      <c r="Y85" s="10"/>
      <c r="Z85" s="10"/>
      <c r="AA85" s="10"/>
    </row>
    <row r="86" spans="1:27">
      <c r="A86" s="5"/>
      <c r="B86" s="5"/>
      <c r="C86" s="9"/>
      <c r="D86" s="9"/>
      <c r="E86" s="10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8"/>
      <c r="U86" s="9"/>
      <c r="V86" s="10"/>
      <c r="W86" s="10"/>
      <c r="X86" s="10"/>
      <c r="Y86" s="10"/>
      <c r="Z86" s="10"/>
      <c r="AA86" s="10"/>
    </row>
    <row r="87" spans="1:27">
      <c r="A87" s="5"/>
      <c r="B87" s="5"/>
      <c r="C87" s="9"/>
      <c r="D87" s="9"/>
      <c r="E87" s="10"/>
      <c r="F87" s="9"/>
      <c r="G87" s="9"/>
      <c r="H87" s="9"/>
      <c r="I87" s="9"/>
      <c r="J87" s="9"/>
      <c r="K87" s="247">
        <v>13.4</v>
      </c>
      <c r="L87" s="247"/>
      <c r="M87" s="247"/>
      <c r="N87" s="247">
        <v>13.1</v>
      </c>
      <c r="O87" s="247"/>
      <c r="P87" s="247"/>
      <c r="Q87" s="247"/>
      <c r="R87" s="247"/>
      <c r="S87" s="247"/>
      <c r="T87" s="247"/>
      <c r="U87" s="247"/>
      <c r="V87" s="10"/>
      <c r="W87" s="10"/>
      <c r="X87" s="10"/>
      <c r="Y87" s="10"/>
      <c r="Z87" s="10"/>
      <c r="AA87" s="10"/>
    </row>
    <row r="88" spans="1:27">
      <c r="A88" s="5"/>
      <c r="B88" s="5"/>
      <c r="C88" s="9"/>
      <c r="D88" s="9"/>
      <c r="E88" s="10"/>
      <c r="F88" s="9"/>
      <c r="G88" s="9"/>
      <c r="H88" s="9"/>
      <c r="I88" s="9"/>
      <c r="J88" s="9"/>
      <c r="K88" s="9">
        <v>0</v>
      </c>
      <c r="L88" s="9">
        <v>0</v>
      </c>
      <c r="M88" s="9"/>
      <c r="N88" s="9">
        <v>0</v>
      </c>
      <c r="O88" s="9"/>
      <c r="P88" s="9"/>
      <c r="Q88" s="9"/>
      <c r="R88" s="9"/>
      <c r="S88" s="9"/>
      <c r="T88" s="8">
        <v>0</v>
      </c>
      <c r="U88" s="9"/>
      <c r="V88" s="10"/>
      <c r="W88" s="10"/>
      <c r="X88" s="10"/>
      <c r="Y88" s="10"/>
      <c r="Z88" s="10"/>
      <c r="AA88" s="10"/>
    </row>
    <row r="89" spans="1:27">
      <c r="A89" s="5"/>
      <c r="B89" s="5"/>
      <c r="C89" s="9"/>
      <c r="D89" s="9"/>
      <c r="E89" s="10"/>
      <c r="F89" s="9"/>
      <c r="G89" s="9"/>
      <c r="H89" s="9"/>
      <c r="I89" s="9"/>
      <c r="J89" s="9"/>
      <c r="K89" s="9">
        <v>0.407</v>
      </c>
      <c r="L89" s="9">
        <v>24582.317381729</v>
      </c>
      <c r="M89" s="9"/>
      <c r="N89" s="9">
        <v>0.377</v>
      </c>
      <c r="O89" s="9"/>
      <c r="P89" s="9"/>
      <c r="Q89" s="9"/>
      <c r="R89" s="9"/>
      <c r="S89" s="9"/>
      <c r="T89" s="8">
        <v>22317.9330945537</v>
      </c>
      <c r="U89" s="9"/>
      <c r="V89" s="10"/>
      <c r="W89" s="10"/>
      <c r="X89" s="10"/>
      <c r="Y89" s="10"/>
      <c r="Z89" s="10"/>
      <c r="AA89" s="10"/>
    </row>
    <row r="90" spans="1:27">
      <c r="A90" s="5"/>
      <c r="B90" s="5"/>
      <c r="C90" s="9"/>
      <c r="D90" s="9"/>
      <c r="E90" s="10"/>
      <c r="F90" s="9"/>
      <c r="G90" s="9"/>
      <c r="H90" s="9"/>
      <c r="I90" s="9"/>
      <c r="J90" s="9"/>
      <c r="K90" s="9">
        <v>0.814</v>
      </c>
      <c r="L90" s="9">
        <v>48078.349541176</v>
      </c>
      <c r="M90" s="9"/>
      <c r="N90" s="9">
        <v>0.754</v>
      </c>
      <c r="O90" s="9"/>
      <c r="P90" s="9"/>
      <c r="Q90" s="9"/>
      <c r="R90" s="9"/>
      <c r="S90" s="9"/>
      <c r="T90" s="8">
        <v>43772.5205604206</v>
      </c>
      <c r="U90" s="9"/>
      <c r="V90" s="10"/>
      <c r="W90" s="10"/>
      <c r="X90" s="10"/>
      <c r="Y90" s="10"/>
      <c r="Z90" s="10"/>
      <c r="AA90" s="10"/>
    </row>
    <row r="91" spans="1:27">
      <c r="A91" s="5"/>
      <c r="B91" s="5"/>
      <c r="C91" s="9"/>
      <c r="D91" s="9"/>
      <c r="E91" s="10"/>
      <c r="F91" s="9"/>
      <c r="G91" s="9"/>
      <c r="H91" s="9"/>
      <c r="I91" s="9"/>
      <c r="J91" s="9"/>
      <c r="K91" s="9">
        <v>1.221</v>
      </c>
      <c r="L91" s="9">
        <v>70608.7948363725</v>
      </c>
      <c r="M91" s="9"/>
      <c r="N91" s="9">
        <v>1.131</v>
      </c>
      <c r="O91" s="9"/>
      <c r="P91" s="9"/>
      <c r="Q91" s="9"/>
      <c r="R91" s="9"/>
      <c r="S91" s="9"/>
      <c r="T91" s="8">
        <v>64459.689689677</v>
      </c>
      <c r="U91" s="9"/>
      <c r="V91" s="10"/>
      <c r="W91" s="10"/>
      <c r="X91" s="10"/>
      <c r="Y91" s="10"/>
      <c r="Z91" s="10"/>
      <c r="AA91" s="10"/>
    </row>
    <row r="92" spans="1:27">
      <c r="A92" s="5"/>
      <c r="B92" s="5"/>
      <c r="C92" s="9"/>
      <c r="D92" s="9"/>
      <c r="E92" s="10"/>
      <c r="F92" s="9"/>
      <c r="G92" s="9"/>
      <c r="H92" s="9"/>
      <c r="I92" s="9"/>
      <c r="J92" s="9"/>
      <c r="K92" s="9">
        <v>1.628</v>
      </c>
      <c r="L92" s="9">
        <v>92294.3516253496</v>
      </c>
      <c r="M92" s="9"/>
      <c r="N92" s="9">
        <v>1.508</v>
      </c>
      <c r="O92" s="9"/>
      <c r="P92" s="9"/>
      <c r="Q92" s="9"/>
      <c r="R92" s="9"/>
      <c r="S92" s="9"/>
      <c r="T92" s="8">
        <v>84475.3677743994</v>
      </c>
      <c r="U92" s="9"/>
      <c r="V92" s="10"/>
      <c r="W92" s="10"/>
      <c r="X92" s="10"/>
      <c r="Y92" s="10"/>
      <c r="Z92" s="10"/>
      <c r="AA92" s="10"/>
    </row>
    <row r="93" spans="1:27">
      <c r="A93" s="5"/>
      <c r="B93" s="5"/>
      <c r="C93" s="9"/>
      <c r="D93" s="9"/>
      <c r="E93" s="10"/>
      <c r="F93" s="9"/>
      <c r="G93" s="9"/>
      <c r="H93" s="9"/>
      <c r="I93" s="9"/>
      <c r="J93" s="9"/>
      <c r="K93" s="9">
        <v>2.035</v>
      </c>
      <c r="L93" s="9">
        <v>113255.718266139</v>
      </c>
      <c r="M93" s="9"/>
      <c r="N93" s="9">
        <v>1.885</v>
      </c>
      <c r="O93" s="9"/>
      <c r="P93" s="9"/>
      <c r="Q93" s="9"/>
      <c r="R93" s="9"/>
      <c r="S93" s="9"/>
      <c r="T93" s="8">
        <v>103915.482106664</v>
      </c>
      <c r="U93" s="9"/>
      <c r="V93" s="10"/>
      <c r="W93" s="10"/>
      <c r="X93" s="10"/>
      <c r="Y93" s="10"/>
      <c r="Z93" s="10"/>
      <c r="AA93" s="10"/>
    </row>
    <row r="94" spans="1:27">
      <c r="A94" s="5"/>
      <c r="B94" s="5"/>
      <c r="C94" s="9"/>
      <c r="D94" s="9"/>
      <c r="E94" s="10"/>
      <c r="F94" s="9"/>
      <c r="G94" s="9"/>
      <c r="H94" s="9"/>
      <c r="I94" s="9"/>
      <c r="J94" s="9"/>
      <c r="K94" s="9">
        <v>2.442</v>
      </c>
      <c r="L94" s="9">
        <v>133613.593116771</v>
      </c>
      <c r="M94" s="248">
        <f>(L95-L94)/(K95-K94)*(2.55-K94)+L94</f>
        <v>138862.214943766</v>
      </c>
      <c r="N94" s="9">
        <v>2.262</v>
      </c>
      <c r="O94" s="9"/>
      <c r="P94" s="9"/>
      <c r="Q94" s="9"/>
      <c r="R94" s="9"/>
      <c r="S94" s="9"/>
      <c r="T94" s="8">
        <v>122875.959978547</v>
      </c>
      <c r="U94" s="9">
        <f>(T95-T94)/(N95-N94)*(2.55-N94)+T94</f>
        <v>137009.217177584</v>
      </c>
      <c r="V94" s="10"/>
      <c r="W94" s="10"/>
      <c r="X94" s="10"/>
      <c r="Y94" s="10"/>
      <c r="Z94" s="10"/>
      <c r="AA94" s="10"/>
    </row>
    <row r="95" spans="1:27">
      <c r="A95" s="5"/>
      <c r="B95" s="5"/>
      <c r="C95" s="9"/>
      <c r="D95" s="9"/>
      <c r="E95" s="10"/>
      <c r="F95" s="9"/>
      <c r="G95" s="9"/>
      <c r="H95" s="9"/>
      <c r="I95" s="9"/>
      <c r="J95" s="9"/>
      <c r="K95" s="9">
        <v>3.0525</v>
      </c>
      <c r="L95" s="9">
        <v>163282.88594437</v>
      </c>
      <c r="M95" s="9"/>
      <c r="N95" s="9">
        <v>2.8275</v>
      </c>
      <c r="O95" s="9"/>
      <c r="P95" s="9"/>
      <c r="Q95" s="9"/>
      <c r="R95" s="9"/>
      <c r="S95" s="9"/>
      <c r="T95" s="8">
        <v>150627.199374573</v>
      </c>
      <c r="U95" s="9"/>
      <c r="V95" s="10"/>
      <c r="W95" s="10"/>
      <c r="X95" s="10"/>
      <c r="Y95" s="10"/>
      <c r="Z95" s="10"/>
      <c r="AA95" s="10"/>
    </row>
    <row r="96" spans="1:27">
      <c r="A96" s="5"/>
      <c r="B96" s="5"/>
      <c r="C96" s="9"/>
      <c r="D96" s="9"/>
      <c r="E96" s="10"/>
      <c r="F96" s="9"/>
      <c r="G96" s="9"/>
      <c r="H96" s="9"/>
      <c r="I96" s="9"/>
      <c r="J96" s="9"/>
      <c r="K96" s="9">
        <v>3.663</v>
      </c>
      <c r="L96" s="9">
        <v>192273.250508043</v>
      </c>
      <c r="M96" s="9"/>
      <c r="N96" s="9">
        <v>3.393</v>
      </c>
      <c r="O96" s="9"/>
      <c r="P96" s="9"/>
      <c r="Q96" s="9"/>
      <c r="R96" s="9"/>
      <c r="S96" s="9"/>
      <c r="T96" s="8">
        <v>177838.84775267</v>
      </c>
      <c r="U96" s="9"/>
      <c r="V96" s="10"/>
      <c r="W96" s="10"/>
      <c r="X96" s="10"/>
      <c r="Y96" s="10"/>
      <c r="Z96" s="10"/>
      <c r="AA96" s="10"/>
    </row>
    <row r="97" spans="1:27">
      <c r="A97" s="5"/>
      <c r="B97" s="5"/>
      <c r="C97" s="9"/>
      <c r="D97" s="9"/>
      <c r="E97" s="10"/>
      <c r="F97" s="9"/>
      <c r="G97" s="9"/>
      <c r="H97" s="9"/>
      <c r="I97" s="9"/>
      <c r="J97" s="9"/>
      <c r="K97" s="9">
        <v>4.07</v>
      </c>
      <c r="L97" s="9">
        <v>211424.141778362</v>
      </c>
      <c r="M97" s="9"/>
      <c r="N97" s="9">
        <v>3.77</v>
      </c>
      <c r="O97" s="9"/>
      <c r="P97" s="9"/>
      <c r="Q97" s="9"/>
      <c r="R97" s="9"/>
      <c r="S97" s="9"/>
      <c r="T97" s="8">
        <v>195840.05270379</v>
      </c>
      <c r="U97" s="9"/>
      <c r="V97" s="10"/>
      <c r="W97" s="10"/>
      <c r="X97" s="10"/>
      <c r="Y97" s="10"/>
      <c r="Z97" s="10"/>
      <c r="AA97" s="10"/>
    </row>
    <row r="98" spans="1:27">
      <c r="A98" s="5"/>
      <c r="B98" s="5"/>
      <c r="C98" s="9"/>
      <c r="D98" s="9"/>
      <c r="E98" s="10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8"/>
      <c r="U98" s="9"/>
      <c r="V98" s="10"/>
      <c r="W98" s="10"/>
      <c r="X98" s="10"/>
      <c r="Y98" s="10"/>
      <c r="Z98" s="10"/>
      <c r="AA98" s="10"/>
    </row>
    <row r="99" spans="1:27">
      <c r="A99" s="5"/>
      <c r="B99" s="5"/>
      <c r="C99" s="9"/>
      <c r="D99" s="9"/>
      <c r="E99" s="10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8"/>
      <c r="U99" s="9"/>
      <c r="V99" s="10"/>
      <c r="W99" s="10"/>
      <c r="X99" s="10"/>
      <c r="Y99" s="10"/>
      <c r="Z99" s="10"/>
      <c r="AA99" s="10"/>
    </row>
    <row r="100" spans="1:27">
      <c r="A100" s="5"/>
      <c r="B100" s="5"/>
      <c r="C100" s="9"/>
      <c r="D100" s="9"/>
      <c r="E100" s="10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8"/>
      <c r="U100" s="9"/>
      <c r="V100" s="10"/>
      <c r="W100" s="10"/>
      <c r="X100" s="10"/>
      <c r="Y100" s="10"/>
      <c r="Z100" s="10"/>
      <c r="AA100" s="10"/>
    </row>
    <row r="101" spans="1:27">
      <c r="A101" s="5"/>
      <c r="B101" s="5"/>
      <c r="C101" s="9"/>
      <c r="D101" s="9"/>
      <c r="E101" s="1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8"/>
      <c r="U101" s="9"/>
      <c r="V101" s="10"/>
      <c r="W101" s="10"/>
      <c r="X101" s="10"/>
      <c r="Y101" s="10"/>
      <c r="Z101" s="10"/>
      <c r="AA101" s="10"/>
    </row>
    <row r="102" spans="1:27">
      <c r="A102" s="5"/>
      <c r="B102" s="5"/>
      <c r="C102" s="9"/>
      <c r="D102" s="9"/>
      <c r="E102" s="10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8"/>
      <c r="U102" s="9"/>
      <c r="V102" s="10"/>
      <c r="W102" s="10"/>
      <c r="X102" s="10"/>
      <c r="Y102" s="10"/>
      <c r="Z102" s="10"/>
      <c r="AA102" s="10"/>
    </row>
    <row r="103" spans="1:27">
      <c r="A103" s="5"/>
      <c r="B103" s="5"/>
      <c r="C103" s="9"/>
      <c r="D103" s="9"/>
      <c r="E103" s="10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8"/>
      <c r="U103" s="9"/>
      <c r="V103" s="10"/>
      <c r="W103" s="10"/>
      <c r="X103" s="10"/>
      <c r="Y103" s="10"/>
      <c r="Z103" s="10"/>
      <c r="AA103" s="10"/>
    </row>
    <row r="104" spans="1:27">
      <c r="A104" s="5"/>
      <c r="B104" s="5"/>
      <c r="C104" s="9"/>
      <c r="D104" s="9"/>
      <c r="E104" s="10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8"/>
      <c r="U104" s="9"/>
      <c r="V104" s="10"/>
      <c r="W104" s="10"/>
      <c r="X104" s="10"/>
      <c r="Y104" s="10"/>
      <c r="Z104" s="10"/>
      <c r="AA104" s="10"/>
    </row>
    <row r="105" spans="1:27">
      <c r="A105" s="5"/>
      <c r="B105" s="5"/>
      <c r="C105" s="9"/>
      <c r="D105" s="9"/>
      <c r="E105" s="10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8"/>
      <c r="U105" s="9"/>
      <c r="V105" s="10"/>
      <c r="W105" s="10"/>
      <c r="X105" s="10"/>
      <c r="Y105" s="10"/>
      <c r="Z105" s="10"/>
      <c r="AA105" s="10"/>
    </row>
    <row r="106" spans="1:27">
      <c r="A106" s="5"/>
      <c r="B106" s="5"/>
      <c r="C106" s="9"/>
      <c r="D106" s="9"/>
      <c r="E106" s="10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8"/>
      <c r="U106" s="9"/>
      <c r="V106" s="10"/>
      <c r="W106" s="10"/>
      <c r="X106" s="10"/>
      <c r="Y106" s="10"/>
      <c r="Z106" s="10"/>
      <c r="AA106" s="10"/>
    </row>
    <row r="107" spans="1:27">
      <c r="A107" s="5"/>
      <c r="B107" s="5"/>
      <c r="C107" s="9"/>
      <c r="D107" s="9"/>
      <c r="E107" s="10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8"/>
      <c r="U107" s="9"/>
      <c r="V107" s="10"/>
      <c r="W107" s="10"/>
      <c r="X107" s="10"/>
      <c r="Y107" s="10"/>
      <c r="Z107" s="10"/>
      <c r="AA107" s="10"/>
    </row>
    <row r="108" spans="1:27">
      <c r="A108" s="5"/>
      <c r="B108" s="5"/>
      <c r="C108" s="9"/>
      <c r="D108" s="9"/>
      <c r="E108" s="10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8"/>
      <c r="U108" s="9"/>
      <c r="V108" s="10"/>
      <c r="W108" s="10"/>
      <c r="X108" s="10"/>
      <c r="Y108" s="10"/>
      <c r="Z108" s="10"/>
      <c r="AA108" s="10"/>
    </row>
    <row r="109" spans="1:27">
      <c r="A109" s="5"/>
      <c r="B109" s="5"/>
      <c r="C109" s="9"/>
      <c r="D109" s="9"/>
      <c r="E109" s="10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8"/>
      <c r="U109" s="9"/>
      <c r="V109" s="10"/>
      <c r="W109" s="10"/>
      <c r="X109" s="10"/>
      <c r="Y109" s="10"/>
      <c r="Z109" s="10"/>
      <c r="AA109" s="10"/>
    </row>
    <row r="110" spans="1:27">
      <c r="A110" s="5"/>
      <c r="B110" s="5"/>
      <c r="C110" s="9"/>
      <c r="D110" s="9"/>
      <c r="E110" s="10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8"/>
      <c r="U110" s="9"/>
      <c r="V110" s="10"/>
      <c r="W110" s="10"/>
      <c r="X110" s="10"/>
      <c r="Y110" s="10"/>
      <c r="Z110" s="10"/>
      <c r="AA110" s="10"/>
    </row>
    <row r="111" spans="1:27">
      <c r="A111" s="5"/>
      <c r="B111" s="5"/>
      <c r="C111" s="9"/>
      <c r="D111" s="9"/>
      <c r="E111" s="10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8"/>
      <c r="U111" s="9"/>
      <c r="V111" s="10"/>
      <c r="W111" s="10"/>
      <c r="X111" s="10"/>
      <c r="Y111" s="10"/>
      <c r="Z111" s="10"/>
      <c r="AA111" s="10"/>
    </row>
    <row r="112" spans="1:27">
      <c r="A112" s="5"/>
      <c r="B112" s="5"/>
      <c r="C112" s="9"/>
      <c r="D112" s="9"/>
      <c r="E112" s="10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8"/>
      <c r="U112" s="9"/>
      <c r="V112" s="10"/>
      <c r="W112" s="10"/>
      <c r="X112" s="10"/>
      <c r="Y112" s="10"/>
      <c r="Z112" s="10"/>
      <c r="AA112" s="10"/>
    </row>
    <row r="113" spans="1:27">
      <c r="A113" s="5"/>
      <c r="B113" s="5"/>
      <c r="C113" s="9"/>
      <c r="D113" s="9"/>
      <c r="E113" s="10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8"/>
      <c r="U113" s="9"/>
      <c r="V113" s="10"/>
      <c r="W113" s="10"/>
      <c r="X113" s="10"/>
      <c r="Y113" s="10"/>
      <c r="Z113" s="10"/>
      <c r="AA113" s="10"/>
    </row>
    <row r="114" spans="1:27">
      <c r="A114" s="5"/>
      <c r="B114" s="5"/>
      <c r="C114" s="9"/>
      <c r="D114" s="9"/>
      <c r="E114" s="10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8"/>
      <c r="U114" s="9"/>
      <c r="V114" s="10"/>
      <c r="W114" s="10"/>
      <c r="X114" s="10"/>
      <c r="Y114" s="10"/>
      <c r="Z114" s="10"/>
      <c r="AA114" s="10"/>
    </row>
    <row r="115" spans="1:27">
      <c r="A115" s="5"/>
      <c r="B115" s="5"/>
      <c r="C115" s="9"/>
      <c r="D115" s="9"/>
      <c r="E115" s="10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8"/>
      <c r="U115" s="9"/>
      <c r="V115" s="10"/>
      <c r="W115" s="10"/>
      <c r="X115" s="10"/>
      <c r="Y115" s="10"/>
      <c r="Z115" s="10"/>
      <c r="AA115" s="10"/>
    </row>
    <row r="116" spans="1:27">
      <c r="A116" s="5"/>
      <c r="B116" s="5"/>
      <c r="C116" s="9"/>
      <c r="D116" s="9"/>
      <c r="E116" s="10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8"/>
      <c r="U116" s="9"/>
      <c r="V116" s="10"/>
      <c r="W116" s="10"/>
      <c r="X116" s="10"/>
      <c r="Y116" s="10"/>
      <c r="Z116" s="10"/>
      <c r="AA116" s="10"/>
    </row>
    <row r="117" spans="1:27">
      <c r="A117" s="5"/>
      <c r="B117" s="5"/>
      <c r="C117" s="9"/>
      <c r="D117" s="9"/>
      <c r="E117" s="10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8"/>
      <c r="U117" s="9"/>
      <c r="V117" s="10"/>
      <c r="W117" s="10"/>
      <c r="X117" s="10"/>
      <c r="Y117" s="10"/>
      <c r="Z117" s="10"/>
      <c r="AA117" s="10"/>
    </row>
    <row r="118" spans="1:27">
      <c r="A118" s="5"/>
      <c r="B118" s="5"/>
      <c r="C118" s="9"/>
      <c r="D118" s="9"/>
      <c r="E118" s="10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8"/>
      <c r="U118" s="9"/>
      <c r="V118" s="10"/>
      <c r="W118" s="10"/>
      <c r="X118" s="10"/>
      <c r="Y118" s="10"/>
      <c r="Z118" s="10"/>
      <c r="AA118" s="10"/>
    </row>
    <row r="119" spans="1:27">
      <c r="A119" s="5"/>
      <c r="B119" s="5"/>
      <c r="C119" s="9"/>
      <c r="D119" s="9"/>
      <c r="E119" s="10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8"/>
      <c r="U119" s="9"/>
      <c r="V119" s="10"/>
      <c r="W119" s="10"/>
      <c r="X119" s="10"/>
      <c r="Y119" s="10"/>
      <c r="Z119" s="10"/>
      <c r="AA119" s="10"/>
    </row>
    <row r="120" spans="1:27">
      <c r="A120" s="5"/>
      <c r="B120" s="5"/>
      <c r="C120" s="9"/>
      <c r="D120" s="9"/>
      <c r="E120" s="10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8"/>
      <c r="U120" s="9"/>
      <c r="V120" s="10"/>
      <c r="W120" s="10"/>
      <c r="X120" s="10"/>
      <c r="Y120" s="10"/>
      <c r="Z120" s="10"/>
      <c r="AA120" s="10"/>
    </row>
    <row r="121" spans="1:27">
      <c r="A121" s="5"/>
      <c r="B121" s="5"/>
      <c r="C121" s="9"/>
      <c r="D121" s="9"/>
      <c r="E121" s="10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8"/>
      <c r="U121" s="9"/>
      <c r="V121" s="10"/>
      <c r="W121" s="10"/>
      <c r="X121" s="10"/>
      <c r="Y121" s="10"/>
      <c r="Z121" s="10"/>
      <c r="AA121" s="10"/>
    </row>
    <row r="122" spans="1:27">
      <c r="A122" s="5"/>
      <c r="B122" s="5"/>
      <c r="C122" s="9"/>
      <c r="D122" s="9"/>
      <c r="E122" s="10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8"/>
      <c r="U122" s="9"/>
      <c r="V122" s="10"/>
      <c r="W122" s="10"/>
      <c r="X122" s="10"/>
      <c r="Y122" s="10"/>
      <c r="Z122" s="10"/>
      <c r="AA122" s="10"/>
    </row>
    <row r="123" spans="1:27">
      <c r="A123" s="5"/>
      <c r="B123" s="5"/>
      <c r="C123" s="9"/>
      <c r="D123" s="9"/>
      <c r="E123" s="10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8"/>
      <c r="U123" s="9"/>
      <c r="V123" s="10"/>
      <c r="W123" s="10"/>
      <c r="X123" s="10"/>
      <c r="Y123" s="10"/>
      <c r="Z123" s="10"/>
      <c r="AA123" s="10"/>
    </row>
    <row r="124" spans="1:27">
      <c r="A124" s="5"/>
      <c r="B124" s="5"/>
      <c r="C124" s="9"/>
      <c r="D124" s="9"/>
      <c r="E124" s="10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8"/>
      <c r="U124" s="9"/>
      <c r="V124" s="10"/>
      <c r="W124" s="10"/>
      <c r="X124" s="10"/>
      <c r="Y124" s="10"/>
      <c r="Z124" s="10"/>
      <c r="AA124" s="10"/>
    </row>
    <row r="125" spans="1:27">
      <c r="A125" s="5"/>
      <c r="B125" s="5"/>
      <c r="C125" s="9"/>
      <c r="D125" s="9"/>
      <c r="E125" s="10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8"/>
      <c r="U125" s="9"/>
      <c r="V125" s="10"/>
      <c r="W125" s="10"/>
      <c r="X125" s="10"/>
      <c r="Y125" s="10"/>
      <c r="Z125" s="10"/>
      <c r="AA125" s="10"/>
    </row>
    <row r="126" spans="1:27">
      <c r="A126" s="5"/>
      <c r="B126" s="5"/>
      <c r="C126" s="9"/>
      <c r="D126" s="9"/>
      <c r="E126" s="10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8"/>
      <c r="U126" s="9"/>
      <c r="V126" s="10"/>
      <c r="W126" s="10"/>
      <c r="X126" s="10"/>
      <c r="Y126" s="10"/>
      <c r="Z126" s="10"/>
      <c r="AA126" s="10"/>
    </row>
    <row r="127" spans="1:27">
      <c r="A127" s="5"/>
      <c r="B127" s="5"/>
      <c r="C127" s="9"/>
      <c r="D127" s="9"/>
      <c r="E127" s="10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8"/>
      <c r="U127" s="9"/>
      <c r="V127" s="10"/>
      <c r="W127" s="10"/>
      <c r="X127" s="10"/>
      <c r="Y127" s="10"/>
      <c r="Z127" s="10"/>
      <c r="AA127" s="10"/>
    </row>
    <row r="128" spans="1:27">
      <c r="A128" s="5"/>
      <c r="B128" s="5"/>
      <c r="C128" s="9"/>
      <c r="D128" s="9"/>
      <c r="E128" s="10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8"/>
      <c r="U128" s="9"/>
      <c r="V128" s="10"/>
      <c r="W128" s="10"/>
      <c r="X128" s="10"/>
      <c r="Y128" s="10"/>
      <c r="Z128" s="10"/>
      <c r="AA128" s="10"/>
    </row>
    <row r="129" spans="1:27">
      <c r="A129" s="5"/>
      <c r="B129" s="5"/>
      <c r="C129" s="9"/>
      <c r="D129" s="9"/>
      <c r="E129" s="10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8"/>
      <c r="U129" s="9"/>
      <c r="V129" s="10"/>
      <c r="W129" s="10"/>
      <c r="X129" s="10"/>
      <c r="Y129" s="10"/>
      <c r="Z129" s="10"/>
      <c r="AA129" s="10"/>
    </row>
    <row r="130" spans="1:27">
      <c r="A130" s="5"/>
      <c r="B130" s="5"/>
      <c r="C130" s="9"/>
      <c r="D130" s="9"/>
      <c r="E130" s="10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8"/>
      <c r="U130" s="9"/>
      <c r="V130" s="10"/>
      <c r="W130" s="10"/>
      <c r="X130" s="10"/>
      <c r="Y130" s="10"/>
      <c r="Z130" s="10"/>
      <c r="AA130" s="10"/>
    </row>
    <row r="131" spans="1:27">
      <c r="A131" s="5"/>
      <c r="B131" s="5"/>
      <c r="C131" s="9"/>
      <c r="D131" s="9"/>
      <c r="E131" s="10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8"/>
      <c r="U131" s="9"/>
      <c r="V131" s="10"/>
      <c r="W131" s="10"/>
      <c r="X131" s="10"/>
      <c r="Y131" s="10"/>
      <c r="Z131" s="10"/>
      <c r="AA131" s="10"/>
    </row>
    <row r="132" spans="1:27">
      <c r="A132" s="5"/>
      <c r="B132" s="5"/>
      <c r="C132" s="9"/>
      <c r="D132" s="9"/>
      <c r="E132" s="10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8"/>
      <c r="U132" s="9"/>
      <c r="V132" s="10"/>
      <c r="W132" s="10"/>
      <c r="X132" s="10"/>
      <c r="Y132" s="10"/>
      <c r="Z132" s="10"/>
      <c r="AA132" s="10"/>
    </row>
    <row r="133" spans="1:27">
      <c r="A133" s="5"/>
      <c r="B133" s="5"/>
      <c r="C133" s="9"/>
      <c r="D133" s="9"/>
      <c r="E133" s="10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8"/>
      <c r="U133" s="9"/>
      <c r="V133" s="10"/>
      <c r="W133" s="10"/>
      <c r="X133" s="10"/>
      <c r="Y133" s="10"/>
      <c r="Z133" s="10"/>
      <c r="AA133" s="10"/>
    </row>
    <row r="134" spans="1:27">
      <c r="A134" s="5"/>
      <c r="B134" s="5"/>
      <c r="C134" s="9"/>
      <c r="D134" s="9"/>
      <c r="E134" s="10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8"/>
      <c r="U134" s="9"/>
      <c r="V134" s="10"/>
      <c r="W134" s="10"/>
      <c r="X134" s="10"/>
      <c r="Y134" s="10"/>
      <c r="Z134" s="10"/>
      <c r="AA134" s="10"/>
    </row>
    <row r="135" spans="1:27">
      <c r="A135" s="5"/>
      <c r="B135" s="5"/>
      <c r="C135" s="9"/>
      <c r="D135" s="9"/>
      <c r="E135" s="10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8"/>
      <c r="U135" s="9"/>
      <c r="V135" s="10"/>
      <c r="W135" s="10"/>
      <c r="X135" s="10"/>
      <c r="Y135" s="10"/>
      <c r="Z135" s="10"/>
      <c r="AA135" s="10"/>
    </row>
    <row r="136" spans="1:27">
      <c r="A136" s="5"/>
      <c r="B136" s="5"/>
      <c r="C136" s="9"/>
      <c r="D136" s="9"/>
      <c r="E136" s="10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8"/>
      <c r="U136" s="9"/>
      <c r="V136" s="10"/>
      <c r="W136" s="10"/>
      <c r="X136" s="10"/>
      <c r="Y136" s="10"/>
      <c r="Z136" s="10"/>
      <c r="AA136" s="10"/>
    </row>
    <row r="137" spans="1:27">
      <c r="A137" s="5"/>
      <c r="B137" s="5"/>
      <c r="C137" s="9"/>
      <c r="D137" s="9"/>
      <c r="E137" s="10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8"/>
      <c r="U137" s="9"/>
      <c r="V137" s="10"/>
      <c r="W137" s="10"/>
      <c r="X137" s="10"/>
      <c r="Y137" s="10"/>
      <c r="Z137" s="10"/>
      <c r="AA137" s="10"/>
    </row>
    <row r="138" spans="1:27">
      <c r="A138" s="5"/>
      <c r="B138" s="5"/>
      <c r="C138" s="9"/>
      <c r="D138" s="9"/>
      <c r="E138" s="10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8"/>
      <c r="U138" s="9"/>
      <c r="V138" s="10"/>
      <c r="W138" s="10"/>
      <c r="X138" s="10"/>
      <c r="Y138" s="10"/>
      <c r="Z138" s="10"/>
      <c r="AA138" s="10"/>
    </row>
    <row r="139" spans="1:27">
      <c r="A139" s="5"/>
      <c r="B139" s="5"/>
      <c r="C139" s="9"/>
      <c r="D139" s="9"/>
      <c r="E139" s="10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8"/>
      <c r="U139" s="9"/>
      <c r="V139" s="10"/>
      <c r="W139" s="10"/>
      <c r="X139" s="10"/>
      <c r="Y139" s="10"/>
      <c r="Z139" s="10"/>
      <c r="AA139" s="10"/>
    </row>
    <row r="140" spans="1:27">
      <c r="A140" s="5"/>
      <c r="B140" s="5"/>
      <c r="C140" s="9"/>
      <c r="D140" s="9"/>
      <c r="E140" s="10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8"/>
      <c r="U140" s="9"/>
      <c r="V140" s="10"/>
      <c r="W140" s="10"/>
      <c r="X140" s="10"/>
      <c r="Y140" s="10"/>
      <c r="Z140" s="10"/>
      <c r="AA140" s="10"/>
    </row>
    <row r="141" spans="1:27">
      <c r="A141" s="5"/>
      <c r="B141" s="5"/>
      <c r="C141" s="9"/>
      <c r="D141" s="9"/>
      <c r="E141" s="10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8"/>
      <c r="U141" s="9"/>
      <c r="V141" s="10"/>
      <c r="W141" s="10"/>
      <c r="X141" s="10"/>
      <c r="Y141" s="10"/>
      <c r="Z141" s="10"/>
      <c r="AA141" s="10"/>
    </row>
    <row r="142" spans="1:27">
      <c r="A142" s="5"/>
      <c r="B142" s="5"/>
      <c r="C142" s="9"/>
      <c r="D142" s="9"/>
      <c r="E142" s="10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8"/>
      <c r="U142" s="9"/>
      <c r="V142" s="10"/>
      <c r="W142" s="10"/>
      <c r="X142" s="10"/>
      <c r="Y142" s="10"/>
      <c r="Z142" s="10"/>
      <c r="AA142" s="10"/>
    </row>
    <row r="143" spans="1:27">
      <c r="A143" s="5"/>
      <c r="B143" s="5"/>
      <c r="C143" s="9"/>
      <c r="D143" s="9"/>
      <c r="E143" s="10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8"/>
      <c r="U143" s="9"/>
      <c r="V143" s="10"/>
      <c r="W143" s="10"/>
      <c r="X143" s="10"/>
      <c r="Y143" s="10"/>
      <c r="Z143" s="10"/>
      <c r="AA143" s="10"/>
    </row>
    <row r="144" spans="1:27">
      <c r="A144" s="5"/>
      <c r="B144" s="5"/>
      <c r="C144" s="9"/>
      <c r="D144" s="9"/>
      <c r="E144" s="1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8"/>
      <c r="U144" s="9"/>
      <c r="V144" s="10"/>
      <c r="W144" s="10"/>
      <c r="X144" s="10"/>
      <c r="Y144" s="10"/>
      <c r="Z144" s="10"/>
      <c r="AA144" s="10"/>
    </row>
    <row r="145" spans="1:27">
      <c r="A145" s="5"/>
      <c r="B145" s="5"/>
      <c r="C145" s="9"/>
      <c r="D145" s="9"/>
      <c r="E145" s="10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8"/>
      <c r="U145" s="9"/>
      <c r="V145" s="10"/>
      <c r="W145" s="10"/>
      <c r="X145" s="10"/>
      <c r="Y145" s="10"/>
      <c r="Z145" s="10"/>
      <c r="AA145" s="10"/>
    </row>
    <row r="146" spans="1:27">
      <c r="A146" s="5"/>
      <c r="B146" s="5"/>
      <c r="C146" s="9"/>
      <c r="D146" s="9"/>
      <c r="E146" s="10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8"/>
      <c r="U146" s="9"/>
      <c r="V146" s="10"/>
      <c r="W146" s="10"/>
      <c r="X146" s="10"/>
      <c r="Y146" s="10"/>
      <c r="Z146" s="10"/>
      <c r="AA146" s="10"/>
    </row>
    <row r="147" spans="1:27">
      <c r="A147" s="5"/>
      <c r="B147" s="5"/>
      <c r="C147" s="9"/>
      <c r="D147" s="9"/>
      <c r="E147" s="10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8"/>
      <c r="U147" s="9"/>
      <c r="V147" s="10"/>
      <c r="W147" s="10"/>
      <c r="X147" s="10"/>
      <c r="Y147" s="10"/>
      <c r="Z147" s="10"/>
      <c r="AA147" s="10"/>
    </row>
    <row r="148" spans="1:27">
      <c r="A148" s="5"/>
      <c r="B148" s="5"/>
      <c r="C148" s="9"/>
      <c r="D148" s="9"/>
      <c r="E148" s="10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8"/>
      <c r="U148" s="9"/>
      <c r="V148" s="10"/>
      <c r="W148" s="10"/>
      <c r="X148" s="10"/>
      <c r="Y148" s="10"/>
      <c r="Z148" s="10"/>
      <c r="AA148" s="10"/>
    </row>
    <row r="149" spans="1:27">
      <c r="A149" s="5"/>
      <c r="B149" s="5"/>
      <c r="C149" s="9"/>
      <c r="D149" s="9"/>
      <c r="E149" s="10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8"/>
      <c r="U149" s="9"/>
      <c r="V149" s="10"/>
      <c r="W149" s="10"/>
      <c r="X149" s="10"/>
      <c r="Y149" s="10"/>
      <c r="Z149" s="10"/>
      <c r="AA149" s="10"/>
    </row>
    <row r="150" spans="1:27">
      <c r="A150" s="5"/>
      <c r="B150" s="5"/>
      <c r="C150" s="9"/>
      <c r="D150" s="9"/>
      <c r="E150" s="10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8"/>
      <c r="U150" s="9"/>
      <c r="V150" s="10"/>
      <c r="W150" s="10"/>
      <c r="X150" s="10"/>
      <c r="Y150" s="10"/>
      <c r="Z150" s="10"/>
      <c r="AA150" s="10"/>
    </row>
    <row r="151" spans="1:27">
      <c r="A151" s="5"/>
      <c r="B151" s="5"/>
      <c r="C151" s="9"/>
      <c r="D151" s="9"/>
      <c r="E151" s="10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8"/>
      <c r="U151" s="9"/>
      <c r="V151" s="10"/>
      <c r="W151" s="10"/>
      <c r="X151" s="10"/>
      <c r="Y151" s="10"/>
      <c r="Z151" s="10"/>
      <c r="AA151" s="10"/>
    </row>
    <row r="152" spans="1:27">
      <c r="A152" s="5"/>
      <c r="B152" s="5"/>
      <c r="C152" s="9"/>
      <c r="D152" s="9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8"/>
      <c r="U152" s="9"/>
      <c r="V152" s="10"/>
      <c r="W152" s="10"/>
      <c r="X152" s="10"/>
      <c r="Y152" s="10"/>
      <c r="Z152" s="10"/>
      <c r="AA152" s="10"/>
    </row>
    <row r="153" spans="1:27">
      <c r="A153" s="5"/>
      <c r="B153" s="5"/>
      <c r="C153" s="9"/>
      <c r="D153" s="9"/>
      <c r="E153" s="10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8"/>
      <c r="U153" s="9"/>
      <c r="V153" s="10"/>
      <c r="W153" s="10"/>
      <c r="X153" s="10"/>
      <c r="Y153" s="10"/>
      <c r="Z153" s="10"/>
      <c r="AA153" s="10"/>
    </row>
    <row r="154" spans="1:27">
      <c r="A154" s="5"/>
      <c r="B154" s="5"/>
      <c r="C154" s="9"/>
      <c r="D154" s="9"/>
      <c r="E154" s="10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8"/>
      <c r="U154" s="9"/>
      <c r="V154" s="10"/>
      <c r="W154" s="10"/>
      <c r="X154" s="10"/>
      <c r="Y154" s="10"/>
      <c r="Z154" s="10"/>
      <c r="AA154" s="10"/>
    </row>
    <row r="155" spans="1:27">
      <c r="A155" s="5"/>
      <c r="B155" s="5"/>
      <c r="C155" s="9"/>
      <c r="D155" s="9"/>
      <c r="E155" s="10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8"/>
      <c r="U155" s="9"/>
      <c r="V155" s="10"/>
      <c r="W155" s="10"/>
      <c r="X155" s="10"/>
      <c r="Y155" s="10"/>
      <c r="Z155" s="10"/>
      <c r="AA155" s="10"/>
    </row>
    <row r="156" spans="1:27">
      <c r="A156" s="5"/>
      <c r="B156" s="5"/>
      <c r="C156" s="9"/>
      <c r="D156" s="9"/>
      <c r="E156" s="10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8"/>
      <c r="U156" s="9"/>
      <c r="V156" s="10"/>
      <c r="W156" s="10"/>
      <c r="X156" s="10"/>
      <c r="Y156" s="10"/>
      <c r="Z156" s="10"/>
      <c r="AA156" s="10"/>
    </row>
    <row r="157" spans="1:27">
      <c r="A157" s="5"/>
      <c r="B157" s="5"/>
      <c r="C157" s="9"/>
      <c r="D157" s="9"/>
      <c r="E157" s="10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8"/>
      <c r="U157" s="9"/>
      <c r="V157" s="10"/>
      <c r="W157" s="10"/>
      <c r="X157" s="10"/>
      <c r="Y157" s="10"/>
      <c r="Z157" s="10"/>
      <c r="AA157" s="10"/>
    </row>
    <row r="158" spans="1:27">
      <c r="A158" s="5"/>
      <c r="B158" s="5"/>
      <c r="C158" s="9"/>
      <c r="D158" s="9"/>
      <c r="E158" s="10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8"/>
      <c r="U158" s="9"/>
      <c r="V158" s="10"/>
      <c r="W158" s="10"/>
      <c r="X158" s="10"/>
      <c r="Y158" s="10"/>
      <c r="Z158" s="10"/>
      <c r="AA158" s="10"/>
    </row>
    <row r="159" spans="1:27">
      <c r="A159" s="5"/>
      <c r="B159" s="5"/>
      <c r="C159" s="9"/>
      <c r="D159" s="9"/>
      <c r="E159" s="10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8"/>
      <c r="U159" s="9"/>
      <c r="V159" s="10"/>
      <c r="W159" s="10"/>
      <c r="X159" s="10"/>
      <c r="Y159" s="10"/>
      <c r="Z159" s="10"/>
      <c r="AA159" s="10"/>
    </row>
    <row r="160" spans="1:27">
      <c r="A160" s="5"/>
      <c r="B160" s="5"/>
      <c r="C160" s="9"/>
      <c r="D160" s="9"/>
      <c r="E160" s="10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8"/>
      <c r="U160" s="9"/>
      <c r="V160" s="10"/>
      <c r="W160" s="10"/>
      <c r="X160" s="10"/>
      <c r="Y160" s="10"/>
      <c r="Z160" s="10"/>
      <c r="AA160" s="10"/>
    </row>
    <row r="161" spans="1:27">
      <c r="A161" s="5"/>
      <c r="B161" s="5"/>
      <c r="C161" s="9"/>
      <c r="D161" s="9"/>
      <c r="E161" s="10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8"/>
      <c r="U161" s="9"/>
      <c r="V161" s="10"/>
      <c r="W161" s="10"/>
      <c r="X161" s="10"/>
      <c r="Y161" s="10"/>
      <c r="Z161" s="10"/>
      <c r="AA161" s="10"/>
    </row>
    <row r="162" spans="1:27">
      <c r="A162" s="5"/>
      <c r="B162" s="5"/>
      <c r="C162" s="9"/>
      <c r="D162" s="9"/>
      <c r="E162" s="10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8"/>
      <c r="U162" s="9"/>
      <c r="V162" s="10"/>
      <c r="W162" s="10"/>
      <c r="X162" s="10"/>
      <c r="Y162" s="10"/>
      <c r="Z162" s="10"/>
      <c r="AA162" s="10"/>
    </row>
    <row r="163" spans="1:27">
      <c r="A163" s="5"/>
      <c r="B163" s="5"/>
      <c r="C163" s="9"/>
      <c r="D163" s="9"/>
      <c r="E163" s="10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8"/>
      <c r="U163" s="9"/>
      <c r="V163" s="10"/>
      <c r="W163" s="10"/>
      <c r="X163" s="10"/>
      <c r="Y163" s="10"/>
      <c r="Z163" s="10"/>
      <c r="AA163" s="10"/>
    </row>
    <row r="164" spans="1:27">
      <c r="A164" s="5"/>
      <c r="B164" s="5"/>
      <c r="C164" s="9"/>
      <c r="D164" s="9"/>
      <c r="E164" s="10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8"/>
      <c r="U164" s="9"/>
      <c r="V164" s="10"/>
      <c r="W164" s="10"/>
      <c r="X164" s="10"/>
      <c r="Y164" s="10"/>
      <c r="Z164" s="10"/>
      <c r="AA164" s="10"/>
    </row>
    <row r="165" spans="1:27">
      <c r="A165" s="5"/>
      <c r="B165" s="5"/>
      <c r="C165" s="9"/>
      <c r="D165" s="9"/>
      <c r="E165" s="10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8"/>
      <c r="U165" s="9"/>
      <c r="V165" s="10"/>
      <c r="W165" s="10"/>
      <c r="X165" s="10"/>
      <c r="Y165" s="10"/>
      <c r="Z165" s="10"/>
      <c r="AA165" s="10"/>
    </row>
    <row r="166" spans="1:27">
      <c r="A166" s="5"/>
      <c r="B166" s="5"/>
      <c r="C166" s="9"/>
      <c r="D166" s="9"/>
      <c r="E166" s="10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8"/>
      <c r="U166" s="9"/>
      <c r="V166" s="10"/>
      <c r="W166" s="10"/>
      <c r="X166" s="10"/>
      <c r="Y166" s="10"/>
      <c r="Z166" s="10"/>
      <c r="AA166" s="10"/>
    </row>
    <row r="167" spans="1:27">
      <c r="A167" s="5"/>
      <c r="B167" s="5"/>
      <c r="C167" s="9"/>
      <c r="D167" s="9"/>
      <c r="E167" s="10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8"/>
      <c r="U167" s="9"/>
      <c r="V167" s="10"/>
      <c r="W167" s="10"/>
      <c r="X167" s="10"/>
      <c r="Y167" s="10"/>
      <c r="Z167" s="10"/>
      <c r="AA167" s="10"/>
    </row>
    <row r="168" spans="1:27">
      <c r="A168" s="5"/>
      <c r="B168" s="5"/>
      <c r="C168" s="9"/>
      <c r="D168" s="9"/>
      <c r="E168" s="10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8"/>
      <c r="U168" s="9"/>
      <c r="V168" s="10"/>
      <c r="W168" s="10"/>
      <c r="X168" s="10"/>
      <c r="Y168" s="10"/>
      <c r="Z168" s="10"/>
      <c r="AA168" s="10"/>
    </row>
    <row r="169" spans="1:27">
      <c r="A169" s="5"/>
      <c r="B169" s="5"/>
      <c r="C169" s="9"/>
      <c r="D169" s="9"/>
      <c r="E169" s="10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8"/>
      <c r="U169" s="9"/>
      <c r="V169" s="10"/>
      <c r="W169" s="10"/>
      <c r="X169" s="10"/>
      <c r="Y169" s="10"/>
      <c r="Z169" s="10"/>
      <c r="AA169" s="10"/>
    </row>
    <row r="170" spans="1:27">
      <c r="A170" s="5"/>
      <c r="B170" s="5"/>
      <c r="C170" s="9"/>
      <c r="D170" s="9"/>
      <c r="E170" s="10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8"/>
      <c r="U170" s="9"/>
      <c r="V170" s="10"/>
      <c r="W170" s="10"/>
      <c r="X170" s="10"/>
      <c r="Y170" s="10"/>
      <c r="Z170" s="10"/>
      <c r="AA170" s="10"/>
    </row>
    <row r="171" spans="1:27">
      <c r="A171" s="5"/>
      <c r="B171" s="5"/>
      <c r="C171" s="9"/>
      <c r="D171" s="9"/>
      <c r="E171" s="10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8"/>
      <c r="U171" s="9"/>
      <c r="V171" s="10"/>
      <c r="W171" s="10"/>
      <c r="X171" s="10"/>
      <c r="Y171" s="10"/>
      <c r="Z171" s="10"/>
      <c r="AA171" s="10"/>
    </row>
    <row r="172" spans="1:27">
      <c r="A172" s="5"/>
      <c r="B172" s="5"/>
      <c r="C172" s="9"/>
      <c r="D172" s="9"/>
      <c r="E172" s="10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8"/>
      <c r="U172" s="9"/>
      <c r="V172" s="10"/>
      <c r="W172" s="10"/>
      <c r="X172" s="10"/>
      <c r="Y172" s="10"/>
      <c r="Z172" s="10"/>
      <c r="AA172" s="10"/>
    </row>
    <row r="173" spans="1:27">
      <c r="A173" s="5"/>
      <c r="B173" s="5"/>
      <c r="C173" s="9"/>
      <c r="D173" s="9"/>
      <c r="E173" s="10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8"/>
      <c r="U173" s="9"/>
      <c r="V173" s="10"/>
      <c r="W173" s="10"/>
      <c r="X173" s="10"/>
      <c r="Y173" s="10"/>
      <c r="Z173" s="10"/>
      <c r="AA173" s="10"/>
    </row>
    <row r="174" spans="1:27">
      <c r="A174" s="5"/>
      <c r="B174" s="5"/>
      <c r="C174" s="9"/>
      <c r="D174" s="9"/>
      <c r="E174" s="10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8"/>
      <c r="U174" s="9"/>
      <c r="V174" s="10"/>
      <c r="W174" s="10"/>
      <c r="X174" s="10"/>
      <c r="Y174" s="10"/>
      <c r="Z174" s="10"/>
      <c r="AA174" s="10"/>
    </row>
    <row r="175" spans="1:27">
      <c r="A175" s="5"/>
      <c r="B175" s="5"/>
      <c r="C175" s="9"/>
      <c r="D175" s="9"/>
      <c r="E175" s="10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8"/>
      <c r="U175" s="9"/>
      <c r="V175" s="10"/>
      <c r="W175" s="10"/>
      <c r="X175" s="10"/>
      <c r="Y175" s="10"/>
      <c r="Z175" s="10"/>
      <c r="AA175" s="10"/>
    </row>
    <row r="176" spans="1:27">
      <c r="A176" s="5"/>
      <c r="B176" s="5"/>
      <c r="C176" s="9"/>
      <c r="D176" s="9"/>
      <c r="E176" s="10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8"/>
      <c r="U176" s="9"/>
      <c r="V176" s="10"/>
      <c r="W176" s="10"/>
      <c r="X176" s="10"/>
      <c r="Y176" s="10"/>
      <c r="Z176" s="10"/>
      <c r="AA176" s="10"/>
    </row>
    <row r="177" spans="1:27">
      <c r="A177" s="5"/>
      <c r="B177" s="5"/>
      <c r="C177" s="9"/>
      <c r="D177" s="9"/>
      <c r="E177" s="10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8"/>
      <c r="U177" s="9"/>
      <c r="V177" s="10"/>
      <c r="W177" s="10"/>
      <c r="X177" s="10"/>
      <c r="Y177" s="10"/>
      <c r="Z177" s="10"/>
      <c r="AA177" s="10"/>
    </row>
    <row r="178" spans="1:27">
      <c r="A178" s="5"/>
      <c r="B178" s="5"/>
      <c r="C178" s="9"/>
      <c r="D178" s="9"/>
      <c r="E178" s="10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8"/>
      <c r="U178" s="9"/>
      <c r="V178" s="10"/>
      <c r="W178" s="10"/>
      <c r="X178" s="10"/>
      <c r="Y178" s="10"/>
      <c r="Z178" s="10"/>
      <c r="AA178" s="10"/>
    </row>
    <row r="179" spans="1:27">
      <c r="A179" s="5"/>
      <c r="B179" s="5"/>
      <c r="C179" s="9"/>
      <c r="D179" s="9"/>
      <c r="E179" s="10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8"/>
      <c r="U179" s="9"/>
      <c r="V179" s="10"/>
      <c r="W179" s="10"/>
      <c r="X179" s="10"/>
      <c r="Y179" s="10"/>
      <c r="Z179" s="10"/>
      <c r="AA179" s="10"/>
    </row>
    <row r="180" spans="1:27">
      <c r="A180" s="5"/>
      <c r="B180" s="5"/>
      <c r="C180" s="9"/>
      <c r="D180" s="9"/>
      <c r="E180" s="10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8"/>
      <c r="U180" s="9"/>
      <c r="V180" s="10"/>
      <c r="W180" s="10"/>
      <c r="X180" s="10"/>
      <c r="Y180" s="10"/>
      <c r="Z180" s="10"/>
      <c r="AA180" s="10"/>
    </row>
    <row r="181" spans="1:27">
      <c r="A181" s="5"/>
      <c r="B181" s="5"/>
      <c r="C181" s="9"/>
      <c r="D181" s="9"/>
      <c r="E181" s="10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8"/>
      <c r="U181" s="9"/>
      <c r="V181" s="10"/>
      <c r="W181" s="10"/>
      <c r="X181" s="10"/>
      <c r="Y181" s="10"/>
      <c r="Z181" s="10"/>
      <c r="AA181" s="10"/>
    </row>
    <row r="182" spans="1:27">
      <c r="A182" s="5"/>
      <c r="B182" s="5"/>
      <c r="C182" s="9"/>
      <c r="D182" s="9"/>
      <c r="E182" s="10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8"/>
      <c r="U182" s="9"/>
      <c r="V182" s="10"/>
      <c r="W182" s="10"/>
      <c r="X182" s="10"/>
      <c r="Y182" s="10"/>
      <c r="Z182" s="10"/>
      <c r="AA182" s="10"/>
    </row>
    <row r="183" spans="1:27">
      <c r="A183" s="5"/>
      <c r="B183" s="5"/>
      <c r="C183" s="9"/>
      <c r="D183" s="9"/>
      <c r="E183" s="10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8"/>
      <c r="U183" s="9"/>
      <c r="V183" s="10"/>
      <c r="W183" s="10"/>
      <c r="X183" s="10"/>
      <c r="Y183" s="10"/>
      <c r="Z183" s="10"/>
      <c r="AA183" s="10"/>
    </row>
    <row r="184" spans="1:27">
      <c r="A184" s="5"/>
      <c r="B184" s="5"/>
      <c r="C184" s="9"/>
      <c r="D184" s="9"/>
      <c r="E184" s="10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8"/>
      <c r="U184" s="9"/>
      <c r="V184" s="10"/>
      <c r="W184" s="10"/>
      <c r="X184" s="10"/>
      <c r="Y184" s="10"/>
      <c r="Z184" s="10"/>
      <c r="AA184" s="10"/>
    </row>
    <row r="185" spans="1:27">
      <c r="A185" s="5"/>
      <c r="B185" s="5"/>
      <c r="C185" s="9"/>
      <c r="D185" s="9"/>
      <c r="E185" s="10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8"/>
      <c r="U185" s="9"/>
      <c r="V185" s="10"/>
      <c r="W185" s="10"/>
      <c r="X185" s="10"/>
      <c r="Y185" s="10"/>
      <c r="Z185" s="10"/>
      <c r="AA185" s="10"/>
    </row>
    <row r="186" spans="1:27">
      <c r="A186" s="5"/>
      <c r="B186" s="5"/>
      <c r="C186" s="9"/>
      <c r="D186" s="9"/>
      <c r="E186" s="10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8"/>
      <c r="U186" s="9"/>
      <c r="V186" s="10"/>
      <c r="W186" s="10"/>
      <c r="X186" s="10"/>
      <c r="Y186" s="10"/>
      <c r="Z186" s="10"/>
      <c r="AA186" s="10"/>
    </row>
    <row r="187" spans="1:27">
      <c r="A187" s="5"/>
      <c r="B187" s="5"/>
      <c r="C187" s="9"/>
      <c r="D187" s="9"/>
      <c r="E187" s="10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8"/>
      <c r="U187" s="9"/>
      <c r="V187" s="10"/>
      <c r="W187" s="10"/>
      <c r="X187" s="10"/>
      <c r="Y187" s="10"/>
      <c r="Z187" s="10"/>
      <c r="AA187" s="10"/>
    </row>
    <row r="188" spans="1:27">
      <c r="A188" s="5"/>
      <c r="B188" s="5"/>
      <c r="C188" s="9"/>
      <c r="D188" s="9"/>
      <c r="E188" s="10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8"/>
      <c r="U188" s="9"/>
      <c r="V188" s="10"/>
      <c r="W188" s="10"/>
      <c r="X188" s="10"/>
      <c r="Y188" s="10"/>
      <c r="Z188" s="10"/>
      <c r="AA188" s="10"/>
    </row>
    <row r="189" spans="1:27">
      <c r="A189" s="5"/>
      <c r="B189" s="5"/>
      <c r="C189" s="9"/>
      <c r="D189" s="9"/>
      <c r="E189" s="10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8"/>
      <c r="U189" s="9"/>
      <c r="V189" s="10"/>
      <c r="W189" s="10"/>
      <c r="X189" s="10"/>
      <c r="Y189" s="10"/>
      <c r="Z189" s="10"/>
      <c r="AA189" s="10"/>
    </row>
    <row r="190" spans="1:27">
      <c r="A190" s="5"/>
      <c r="B190" s="5"/>
      <c r="C190" s="9"/>
      <c r="D190" s="9"/>
      <c r="E190" s="10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8"/>
      <c r="U190" s="9"/>
      <c r="V190" s="10"/>
      <c r="W190" s="10"/>
      <c r="X190" s="10"/>
      <c r="Y190" s="10"/>
      <c r="Z190" s="10"/>
      <c r="AA190" s="10"/>
    </row>
    <row r="191" spans="1:27">
      <c r="A191" s="5"/>
      <c r="B191" s="5"/>
      <c r="C191" s="9"/>
      <c r="D191" s="9"/>
      <c r="E191" s="10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8"/>
      <c r="U191" s="9"/>
      <c r="V191" s="10"/>
      <c r="W191" s="10"/>
      <c r="X191" s="10"/>
      <c r="Y191" s="10"/>
      <c r="Z191" s="10"/>
      <c r="AA191" s="10"/>
    </row>
    <row r="192" spans="1:27">
      <c r="A192" s="5"/>
      <c r="B192" s="5"/>
      <c r="C192" s="9"/>
      <c r="D192" s="9"/>
      <c r="E192" s="10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8"/>
      <c r="U192" s="9"/>
      <c r="V192" s="10"/>
      <c r="W192" s="10"/>
      <c r="X192" s="10"/>
      <c r="Y192" s="10"/>
      <c r="Z192" s="10"/>
      <c r="AA192" s="10"/>
    </row>
    <row r="193" spans="1:27">
      <c r="A193" s="5"/>
      <c r="B193" s="5"/>
      <c r="C193" s="9"/>
      <c r="D193" s="9"/>
      <c r="E193" s="10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8"/>
      <c r="U193" s="9"/>
      <c r="V193" s="10"/>
      <c r="W193" s="10"/>
      <c r="X193" s="10"/>
      <c r="Y193" s="10"/>
      <c r="Z193" s="10"/>
      <c r="AA193" s="10"/>
    </row>
    <row r="194" spans="1:27">
      <c r="A194" s="5"/>
      <c r="B194" s="5"/>
      <c r="C194" s="9"/>
      <c r="D194" s="9"/>
      <c r="E194" s="10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8"/>
      <c r="U194" s="9"/>
      <c r="V194" s="10"/>
      <c r="W194" s="10"/>
      <c r="X194" s="10"/>
      <c r="Y194" s="10"/>
      <c r="Z194" s="10"/>
      <c r="AA194" s="10"/>
    </row>
    <row r="195" spans="1:27">
      <c r="A195" s="5"/>
      <c r="B195" s="5"/>
      <c r="C195" s="9"/>
      <c r="D195" s="9"/>
      <c r="E195" s="10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8"/>
      <c r="U195" s="9"/>
      <c r="V195" s="10"/>
      <c r="W195" s="10"/>
      <c r="X195" s="10"/>
      <c r="Y195" s="10"/>
      <c r="Z195" s="10"/>
      <c r="AA195" s="10"/>
    </row>
    <row r="196" spans="1:27">
      <c r="A196" s="5"/>
      <c r="B196" s="5"/>
      <c r="C196" s="9"/>
      <c r="D196" s="9"/>
      <c r="E196" s="10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8"/>
      <c r="U196" s="9"/>
      <c r="V196" s="10"/>
      <c r="W196" s="10"/>
      <c r="X196" s="10"/>
      <c r="Y196" s="10"/>
      <c r="Z196" s="10"/>
      <c r="AA196" s="10"/>
    </row>
    <row r="197" spans="1:27">
      <c r="A197" s="5"/>
      <c r="B197" s="5"/>
      <c r="C197" s="9"/>
      <c r="D197" s="9"/>
      <c r="E197" s="10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8"/>
      <c r="U197" s="9"/>
      <c r="V197" s="10"/>
      <c r="W197" s="10"/>
      <c r="X197" s="10"/>
      <c r="Y197" s="10"/>
      <c r="Z197" s="10"/>
      <c r="AA197" s="10"/>
    </row>
    <row r="198" spans="1:27">
      <c r="A198" s="5"/>
      <c r="B198" s="5"/>
      <c r="C198" s="9"/>
      <c r="D198" s="9"/>
      <c r="E198" s="10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8"/>
      <c r="U198" s="9"/>
      <c r="V198" s="10"/>
      <c r="W198" s="10"/>
      <c r="X198" s="10"/>
      <c r="Y198" s="10"/>
      <c r="Z198" s="10"/>
      <c r="AA198" s="10"/>
    </row>
    <row r="199" spans="1:27">
      <c r="A199" s="5"/>
      <c r="B199" s="5"/>
      <c r="C199" s="9"/>
      <c r="D199" s="9"/>
      <c r="E199" s="10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8"/>
      <c r="U199" s="9"/>
      <c r="V199" s="10"/>
      <c r="W199" s="10"/>
      <c r="X199" s="10"/>
      <c r="Y199" s="10"/>
      <c r="Z199" s="10"/>
      <c r="AA199" s="10"/>
    </row>
    <row r="200" spans="1:27">
      <c r="A200" s="5"/>
      <c r="B200" s="5"/>
      <c r="C200" s="9"/>
      <c r="D200" s="9"/>
      <c r="E200" s="10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8"/>
      <c r="U200" s="9"/>
      <c r="V200" s="10"/>
      <c r="W200" s="10"/>
      <c r="X200" s="10"/>
      <c r="Y200" s="10"/>
      <c r="Z200" s="10"/>
      <c r="AA200" s="10"/>
    </row>
    <row r="201" spans="1:27">
      <c r="A201" s="5"/>
      <c r="B201" s="5"/>
      <c r="C201" s="9"/>
      <c r="D201" s="9"/>
      <c r="E201" s="10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8"/>
      <c r="U201" s="9"/>
      <c r="V201" s="10"/>
      <c r="W201" s="10"/>
      <c r="X201" s="10"/>
      <c r="Y201" s="10"/>
      <c r="Z201" s="10"/>
      <c r="AA201" s="10"/>
    </row>
    <row r="202" spans="1:27">
      <c r="A202" s="5"/>
      <c r="B202" s="5"/>
      <c r="C202" s="9"/>
      <c r="D202" s="9"/>
      <c r="E202" s="10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8"/>
      <c r="U202" s="9"/>
      <c r="V202" s="10"/>
      <c r="W202" s="10"/>
      <c r="X202" s="10"/>
      <c r="Y202" s="10"/>
      <c r="Z202" s="10"/>
      <c r="AA202" s="10"/>
    </row>
    <row r="203" spans="1:27">
      <c r="A203" s="5"/>
      <c r="B203" s="5"/>
      <c r="C203" s="9"/>
      <c r="D203" s="9"/>
      <c r="E203" s="10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8"/>
      <c r="U203" s="9"/>
      <c r="V203" s="10"/>
      <c r="W203" s="10"/>
      <c r="X203" s="10"/>
      <c r="Y203" s="10"/>
      <c r="Z203" s="10"/>
      <c r="AA203" s="10"/>
    </row>
    <row r="204" spans="1:27">
      <c r="A204" s="5"/>
      <c r="B204" s="5"/>
      <c r="C204" s="9"/>
      <c r="D204" s="9"/>
      <c r="E204" s="10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8"/>
      <c r="U204" s="9"/>
      <c r="V204" s="10"/>
      <c r="W204" s="10"/>
      <c r="X204" s="10"/>
      <c r="Y204" s="10"/>
      <c r="Z204" s="10"/>
      <c r="AA204" s="10"/>
    </row>
    <row r="205" spans="1:27">
      <c r="A205" s="5"/>
      <c r="B205" s="5"/>
      <c r="C205" s="9"/>
      <c r="D205" s="9"/>
      <c r="E205" s="10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8"/>
      <c r="U205" s="9"/>
      <c r="V205" s="10"/>
      <c r="W205" s="10"/>
      <c r="X205" s="10"/>
      <c r="Y205" s="10"/>
      <c r="Z205" s="10"/>
      <c r="AA205" s="10"/>
    </row>
    <row r="206" spans="1:27">
      <c r="A206" s="5"/>
      <c r="B206" s="5"/>
      <c r="C206" s="9"/>
      <c r="D206" s="9"/>
      <c r="E206" s="10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8"/>
      <c r="U206" s="9"/>
      <c r="V206" s="10"/>
      <c r="W206" s="10"/>
      <c r="X206" s="10"/>
      <c r="Y206" s="10"/>
      <c r="Z206" s="10"/>
      <c r="AA206" s="10"/>
    </row>
    <row r="207" spans="1:27">
      <c r="A207" s="5"/>
      <c r="B207" s="5"/>
      <c r="C207" s="9"/>
      <c r="D207" s="9"/>
      <c r="E207" s="10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8"/>
      <c r="U207" s="9"/>
      <c r="V207" s="10"/>
      <c r="W207" s="10"/>
      <c r="X207" s="10"/>
      <c r="Y207" s="10"/>
      <c r="Z207" s="10"/>
      <c r="AA207" s="10"/>
    </row>
    <row r="208" spans="1:27">
      <c r="A208" s="5"/>
      <c r="B208" s="5"/>
      <c r="C208" s="9"/>
      <c r="D208" s="9"/>
      <c r="E208" s="10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8"/>
      <c r="U208" s="9"/>
      <c r="V208" s="10"/>
      <c r="W208" s="10"/>
      <c r="X208" s="10"/>
      <c r="Y208" s="10"/>
      <c r="Z208" s="10"/>
      <c r="AA208" s="10"/>
    </row>
    <row r="209" spans="1:27">
      <c r="A209" s="5"/>
      <c r="B209" s="5"/>
      <c r="C209" s="9"/>
      <c r="D209" s="9"/>
      <c r="E209" s="10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8"/>
      <c r="U209" s="9"/>
      <c r="V209" s="10"/>
      <c r="W209" s="10"/>
      <c r="X209" s="10"/>
      <c r="Y209" s="10"/>
      <c r="Z209" s="10"/>
      <c r="AA209" s="10"/>
    </row>
    <row r="210" spans="1:27">
      <c r="A210" s="5"/>
      <c r="B210" s="5"/>
      <c r="C210" s="9"/>
      <c r="D210" s="9"/>
      <c r="E210" s="10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8"/>
      <c r="U210" s="9"/>
      <c r="V210" s="10"/>
      <c r="W210" s="10"/>
      <c r="X210" s="10"/>
      <c r="Y210" s="10"/>
      <c r="Z210" s="10"/>
      <c r="AA210" s="10"/>
    </row>
    <row r="211" spans="1:27">
      <c r="A211" s="5"/>
      <c r="B211" s="5"/>
      <c r="C211" s="9"/>
      <c r="D211" s="9"/>
      <c r="E211" s="10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8"/>
      <c r="U211" s="9"/>
      <c r="V211" s="10"/>
      <c r="W211" s="10"/>
      <c r="X211" s="10"/>
      <c r="Y211" s="10"/>
      <c r="Z211" s="10"/>
      <c r="AA211" s="10"/>
    </row>
    <row r="212" spans="1:27">
      <c r="A212" s="5"/>
      <c r="B212" s="5"/>
      <c r="C212" s="9"/>
      <c r="D212" s="9"/>
      <c r="E212" s="10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8"/>
      <c r="U212" s="9"/>
      <c r="V212" s="10"/>
      <c r="W212" s="10"/>
      <c r="X212" s="10"/>
      <c r="Y212" s="10"/>
      <c r="Z212" s="10"/>
      <c r="AA212" s="10"/>
    </row>
    <row r="213" spans="1:27">
      <c r="A213" s="5"/>
      <c r="B213" s="5"/>
      <c r="C213" s="9"/>
      <c r="D213" s="9"/>
      <c r="E213" s="10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8"/>
      <c r="U213" s="9"/>
      <c r="V213" s="10"/>
      <c r="W213" s="10"/>
      <c r="X213" s="10"/>
      <c r="Y213" s="10"/>
      <c r="Z213" s="10"/>
      <c r="AA213" s="10"/>
    </row>
    <row r="214" spans="1:27">
      <c r="A214" s="5"/>
      <c r="B214" s="5"/>
      <c r="C214" s="9"/>
      <c r="D214" s="9"/>
      <c r="E214" s="10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8"/>
      <c r="U214" s="9"/>
      <c r="V214" s="10"/>
      <c r="W214" s="10"/>
      <c r="X214" s="10"/>
      <c r="Y214" s="10"/>
      <c r="Z214" s="10"/>
      <c r="AA214" s="10"/>
    </row>
    <row r="215" spans="1:27">
      <c r="A215" s="5"/>
      <c r="B215" s="5"/>
      <c r="C215" s="9"/>
      <c r="D215" s="9"/>
      <c r="E215" s="10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8"/>
      <c r="U215" s="9"/>
      <c r="V215" s="10"/>
      <c r="W215" s="10"/>
      <c r="X215" s="10"/>
      <c r="Y215" s="10"/>
      <c r="Z215" s="10"/>
      <c r="AA215" s="10"/>
    </row>
    <row r="216" spans="1:27">
      <c r="A216" s="5"/>
      <c r="B216" s="5"/>
      <c r="C216" s="9"/>
      <c r="D216" s="9"/>
      <c r="E216" s="10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8"/>
      <c r="U216" s="9"/>
      <c r="V216" s="10"/>
      <c r="W216" s="10"/>
      <c r="X216" s="10"/>
      <c r="Y216" s="10"/>
      <c r="Z216" s="10"/>
      <c r="AA216" s="10"/>
    </row>
    <row r="217" spans="1:27">
      <c r="A217" s="5"/>
      <c r="B217" s="5"/>
      <c r="C217" s="9"/>
      <c r="D217" s="9"/>
      <c r="E217" s="10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8"/>
      <c r="U217" s="9"/>
      <c r="V217" s="10"/>
      <c r="W217" s="10"/>
      <c r="X217" s="10"/>
      <c r="Y217" s="10"/>
      <c r="Z217" s="10"/>
      <c r="AA217" s="10"/>
    </row>
    <row r="218" spans="1:27">
      <c r="A218" s="5"/>
      <c r="B218" s="5"/>
      <c r="C218" s="9"/>
      <c r="D218" s="9"/>
      <c r="E218" s="10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8"/>
      <c r="U218" s="9"/>
      <c r="V218" s="10"/>
      <c r="W218" s="10"/>
      <c r="X218" s="10"/>
      <c r="Y218" s="10"/>
      <c r="Z218" s="10"/>
      <c r="AA218" s="10"/>
    </row>
    <row r="219" spans="1:27">
      <c r="A219" s="5"/>
      <c r="B219" s="5"/>
      <c r="C219" s="9"/>
      <c r="D219" s="9"/>
      <c r="E219" s="10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8"/>
      <c r="U219" s="9"/>
      <c r="V219" s="10"/>
      <c r="W219" s="10"/>
      <c r="X219" s="10"/>
      <c r="Y219" s="10"/>
      <c r="Z219" s="10"/>
      <c r="AA219" s="10"/>
    </row>
    <row r="220" spans="1:27">
      <c r="A220" s="5"/>
      <c r="B220" s="5"/>
      <c r="C220" s="9"/>
      <c r="D220" s="9"/>
      <c r="E220" s="10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8"/>
      <c r="U220" s="9"/>
      <c r="V220" s="10"/>
      <c r="W220" s="10"/>
      <c r="X220" s="10"/>
      <c r="Y220" s="10"/>
      <c r="Z220" s="10"/>
      <c r="AA220" s="10"/>
    </row>
    <row r="221" spans="1:27">
      <c r="A221" s="5"/>
      <c r="B221" s="5"/>
      <c r="C221" s="9"/>
      <c r="D221" s="9"/>
      <c r="E221" s="10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8"/>
      <c r="U221" s="9"/>
      <c r="V221" s="10"/>
      <c r="W221" s="10"/>
      <c r="X221" s="10"/>
      <c r="Y221" s="10"/>
      <c r="Z221" s="10"/>
      <c r="AA221" s="10"/>
    </row>
    <row r="222" spans="1:27">
      <c r="A222" s="5"/>
      <c r="B222" s="5"/>
      <c r="C222" s="9"/>
      <c r="D222" s="9"/>
      <c r="E222" s="10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8"/>
      <c r="U222" s="9"/>
      <c r="V222" s="10"/>
      <c r="W222" s="10"/>
      <c r="X222" s="10"/>
      <c r="Y222" s="10"/>
      <c r="Z222" s="10"/>
      <c r="AA222" s="10"/>
    </row>
    <row r="223" spans="1:27">
      <c r="A223" s="5"/>
      <c r="B223" s="5"/>
      <c r="C223" s="9"/>
      <c r="D223" s="9"/>
      <c r="E223" s="10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8"/>
      <c r="U223" s="9"/>
      <c r="V223" s="10"/>
      <c r="W223" s="10"/>
      <c r="X223" s="10"/>
      <c r="Y223" s="10"/>
      <c r="Z223" s="10"/>
      <c r="AA223" s="10"/>
    </row>
    <row r="224" spans="1:27">
      <c r="A224" s="5"/>
      <c r="B224" s="5"/>
      <c r="C224" s="9"/>
      <c r="D224" s="9"/>
      <c r="E224" s="10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8"/>
      <c r="U224" s="9"/>
      <c r="V224" s="10"/>
      <c r="W224" s="10"/>
      <c r="X224" s="10"/>
      <c r="Y224" s="10"/>
      <c r="Z224" s="10"/>
      <c r="AA224" s="10"/>
    </row>
    <row r="225" spans="1:27">
      <c r="A225" s="5"/>
      <c r="B225" s="5"/>
      <c r="C225" s="9"/>
      <c r="D225" s="9"/>
      <c r="E225" s="10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8"/>
      <c r="U225" s="9"/>
      <c r="V225" s="10"/>
      <c r="W225" s="10"/>
      <c r="X225" s="10"/>
      <c r="Y225" s="10"/>
      <c r="Z225" s="10"/>
      <c r="AA225" s="10"/>
    </row>
    <row r="226" spans="1:27">
      <c r="A226" s="5"/>
      <c r="B226" s="5"/>
      <c r="C226" s="9"/>
      <c r="D226" s="9"/>
      <c r="E226" s="10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8"/>
      <c r="U226" s="9"/>
      <c r="V226" s="10"/>
      <c r="W226" s="10"/>
      <c r="X226" s="10"/>
      <c r="Y226" s="10"/>
      <c r="Z226" s="10"/>
      <c r="AA226" s="10"/>
    </row>
    <row r="227" spans="1:27">
      <c r="A227" s="5"/>
      <c r="B227" s="5"/>
      <c r="C227" s="9"/>
      <c r="D227" s="9"/>
      <c r="E227" s="10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8"/>
      <c r="U227" s="9"/>
      <c r="V227" s="10"/>
      <c r="W227" s="10"/>
      <c r="X227" s="10"/>
      <c r="Y227" s="10"/>
      <c r="Z227" s="10"/>
      <c r="AA227" s="10"/>
    </row>
    <row r="228" spans="1:27">
      <c r="A228" s="5"/>
      <c r="B228" s="5"/>
      <c r="C228" s="9"/>
      <c r="D228" s="9"/>
      <c r="E228" s="10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8"/>
      <c r="U228" s="9"/>
      <c r="V228" s="10"/>
      <c r="W228" s="10"/>
      <c r="X228" s="10"/>
      <c r="Y228" s="10"/>
      <c r="Z228" s="10"/>
      <c r="AA228" s="10"/>
    </row>
    <row r="229" spans="1:27">
      <c r="A229" s="5"/>
      <c r="B229" s="5"/>
      <c r="C229" s="9"/>
      <c r="D229" s="9"/>
      <c r="E229" s="10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8"/>
      <c r="U229" s="9"/>
      <c r="V229" s="10"/>
      <c r="W229" s="10"/>
      <c r="X229" s="10"/>
      <c r="Y229" s="10"/>
      <c r="Z229" s="10"/>
      <c r="AA229" s="10"/>
    </row>
    <row r="230" spans="1:27">
      <c r="A230" s="5"/>
      <c r="B230" s="5"/>
      <c r="C230" s="9"/>
      <c r="D230" s="9"/>
      <c r="E230" s="10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8"/>
      <c r="U230" s="9"/>
      <c r="V230" s="10"/>
      <c r="W230" s="10"/>
      <c r="X230" s="10"/>
      <c r="Y230" s="10"/>
      <c r="Z230" s="10"/>
      <c r="AA230" s="10"/>
    </row>
    <row r="231" spans="1:27">
      <c r="A231" s="5"/>
      <c r="B231" s="5"/>
      <c r="C231" s="9"/>
      <c r="D231" s="9"/>
      <c r="E231" s="10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8"/>
      <c r="U231" s="9"/>
      <c r="V231" s="10"/>
      <c r="W231" s="10"/>
      <c r="X231" s="10"/>
      <c r="Y231" s="10"/>
      <c r="Z231" s="10"/>
      <c r="AA231" s="10"/>
    </row>
    <row r="232" spans="1:27">
      <c r="A232" s="5"/>
      <c r="B232" s="5"/>
      <c r="C232" s="9"/>
      <c r="D232" s="9"/>
      <c r="E232" s="10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8"/>
      <c r="U232" s="9"/>
      <c r="V232" s="10"/>
      <c r="W232" s="10"/>
      <c r="X232" s="10"/>
      <c r="Y232" s="10"/>
      <c r="Z232" s="10"/>
      <c r="AA232" s="10"/>
    </row>
    <row r="233" spans="1:27">
      <c r="A233" s="5"/>
      <c r="B233" s="5"/>
      <c r="C233" s="9"/>
      <c r="D233" s="9"/>
      <c r="E233" s="10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8"/>
      <c r="U233" s="9"/>
      <c r="V233" s="10"/>
      <c r="W233" s="10"/>
      <c r="X233" s="10"/>
      <c r="Y233" s="10"/>
      <c r="Z233" s="10"/>
      <c r="AA233" s="10"/>
    </row>
    <row r="234" spans="1:27">
      <c r="A234" s="5"/>
      <c r="B234" s="5"/>
      <c r="C234" s="9"/>
      <c r="D234" s="9"/>
      <c r="E234" s="10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8"/>
      <c r="U234" s="9"/>
      <c r="V234" s="10"/>
      <c r="W234" s="10"/>
      <c r="X234" s="10"/>
      <c r="Y234" s="10"/>
      <c r="Z234" s="10"/>
      <c r="AA234" s="10"/>
    </row>
    <row r="235" spans="1:27">
      <c r="A235" s="5"/>
      <c r="B235" s="5"/>
      <c r="C235" s="9"/>
      <c r="D235" s="9"/>
      <c r="E235" s="10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8"/>
      <c r="U235" s="9"/>
      <c r="V235" s="10"/>
      <c r="W235" s="10"/>
      <c r="X235" s="10"/>
      <c r="Y235" s="10"/>
      <c r="Z235" s="10"/>
      <c r="AA235" s="10"/>
    </row>
    <row r="236" spans="1:27">
      <c r="A236" s="5"/>
      <c r="B236" s="5"/>
      <c r="C236" s="9"/>
      <c r="D236" s="9"/>
      <c r="E236" s="10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8"/>
      <c r="U236" s="9"/>
      <c r="V236" s="10"/>
      <c r="W236" s="10"/>
      <c r="X236" s="10"/>
      <c r="Y236" s="10"/>
      <c r="Z236" s="10"/>
      <c r="AA236" s="10"/>
    </row>
    <row r="237" spans="1:27">
      <c r="A237" s="5"/>
      <c r="B237" s="5"/>
      <c r="C237" s="9"/>
      <c r="D237" s="9"/>
      <c r="E237" s="10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8"/>
      <c r="U237" s="9"/>
      <c r="V237" s="10"/>
      <c r="W237" s="10"/>
      <c r="X237" s="10"/>
      <c r="Y237" s="10"/>
      <c r="Z237" s="10"/>
      <c r="AA237" s="10"/>
    </row>
    <row r="238" spans="1:27">
      <c r="A238" s="5"/>
      <c r="B238" s="5"/>
      <c r="C238" s="9"/>
      <c r="D238" s="9"/>
      <c r="E238" s="10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8"/>
      <c r="U238" s="9"/>
      <c r="V238" s="10"/>
      <c r="W238" s="10"/>
      <c r="X238" s="10"/>
      <c r="Y238" s="10"/>
      <c r="Z238" s="10"/>
      <c r="AA238" s="10"/>
    </row>
    <row r="239" spans="1:27">
      <c r="A239" s="5"/>
      <c r="B239" s="5"/>
      <c r="C239" s="9"/>
      <c r="D239" s="9"/>
      <c r="E239" s="10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8"/>
      <c r="U239" s="9"/>
      <c r="V239" s="10"/>
      <c r="W239" s="10"/>
      <c r="X239" s="10"/>
      <c r="Y239" s="10"/>
      <c r="Z239" s="10"/>
      <c r="AA239" s="10"/>
    </row>
    <row r="240" spans="1:27">
      <c r="A240" s="5"/>
      <c r="B240" s="5"/>
      <c r="C240" s="9"/>
      <c r="D240" s="9"/>
      <c r="E240" s="10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8"/>
      <c r="U240" s="9"/>
      <c r="V240" s="10"/>
      <c r="W240" s="10"/>
      <c r="X240" s="10"/>
      <c r="Y240" s="10"/>
      <c r="Z240" s="10"/>
      <c r="AA240" s="10"/>
    </row>
    <row r="241" spans="1:27">
      <c r="A241" s="5"/>
      <c r="B241" s="5"/>
      <c r="C241" s="9"/>
      <c r="D241" s="9"/>
      <c r="E241" s="10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8"/>
      <c r="U241" s="9"/>
      <c r="V241" s="10"/>
      <c r="W241" s="10"/>
      <c r="X241" s="10"/>
      <c r="Y241" s="10"/>
      <c r="Z241" s="10"/>
      <c r="AA241" s="10"/>
    </row>
    <row r="242" spans="1:27">
      <c r="A242" s="5"/>
      <c r="B242" s="5"/>
      <c r="C242" s="9"/>
      <c r="D242" s="9"/>
      <c r="E242" s="10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8"/>
      <c r="U242" s="9"/>
      <c r="V242" s="10"/>
      <c r="W242" s="10"/>
      <c r="X242" s="10"/>
      <c r="Y242" s="10"/>
      <c r="Z242" s="10"/>
      <c r="AA242" s="10"/>
    </row>
    <row r="243" spans="1:27">
      <c r="A243" s="5"/>
      <c r="B243" s="5"/>
      <c r="C243" s="9"/>
      <c r="D243" s="9"/>
      <c r="E243" s="10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8"/>
      <c r="U243" s="9"/>
      <c r="V243" s="10"/>
      <c r="W243" s="10"/>
      <c r="X243" s="10"/>
      <c r="Y243" s="10"/>
      <c r="Z243" s="10"/>
      <c r="AA243" s="10"/>
    </row>
    <row r="244" spans="1:27">
      <c r="A244" s="5"/>
      <c r="B244" s="5"/>
      <c r="C244" s="9"/>
      <c r="D244" s="9"/>
      <c r="E244" s="10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8"/>
      <c r="U244" s="9"/>
      <c r="V244" s="10"/>
      <c r="W244" s="10"/>
      <c r="X244" s="10"/>
      <c r="Y244" s="10"/>
      <c r="Z244" s="10"/>
      <c r="AA244" s="10"/>
    </row>
    <row r="245" spans="1:27">
      <c r="A245" s="5"/>
      <c r="B245" s="5"/>
      <c r="C245" s="9"/>
      <c r="D245" s="9"/>
      <c r="E245" s="10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8"/>
      <c r="U245" s="9"/>
      <c r="V245" s="10"/>
      <c r="W245" s="10"/>
      <c r="X245" s="10"/>
      <c r="Y245" s="10"/>
      <c r="Z245" s="10"/>
      <c r="AA245" s="10"/>
    </row>
    <row r="246" spans="1:27">
      <c r="A246" s="5"/>
      <c r="B246" s="5"/>
      <c r="C246" s="9"/>
      <c r="D246" s="9"/>
      <c r="E246" s="10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8"/>
      <c r="U246" s="9"/>
      <c r="V246" s="10"/>
      <c r="W246" s="10"/>
      <c r="X246" s="10"/>
      <c r="Y246" s="10"/>
      <c r="Z246" s="10"/>
      <c r="AA246" s="10"/>
    </row>
    <row r="247" spans="1:27">
      <c r="A247" s="5"/>
      <c r="B247" s="5"/>
      <c r="C247" s="9"/>
      <c r="D247" s="9"/>
      <c r="E247" s="10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8"/>
      <c r="U247" s="9"/>
      <c r="V247" s="10"/>
      <c r="W247" s="10"/>
      <c r="X247" s="10"/>
      <c r="Y247" s="10"/>
      <c r="Z247" s="10"/>
      <c r="AA247" s="10"/>
    </row>
    <row r="248" spans="1:27">
      <c r="A248" s="5"/>
      <c r="B248" s="5"/>
      <c r="C248" s="9"/>
      <c r="D248" s="9"/>
      <c r="E248" s="10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8"/>
      <c r="U248" s="9"/>
      <c r="V248" s="10"/>
      <c r="W248" s="10"/>
      <c r="X248" s="10"/>
      <c r="Y248" s="10"/>
      <c r="Z248" s="10"/>
      <c r="AA248" s="10"/>
    </row>
    <row r="249" spans="1:27">
      <c r="A249" s="5"/>
      <c r="B249" s="5"/>
      <c r="C249" s="249"/>
      <c r="D249" s="249"/>
      <c r="E249" s="8"/>
      <c r="F249" s="249"/>
      <c r="G249" s="249"/>
      <c r="H249" s="249"/>
      <c r="I249" s="24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10"/>
      <c r="U249" s="9"/>
      <c r="V249" s="10"/>
      <c r="W249" s="10"/>
      <c r="X249" s="10"/>
      <c r="Y249" s="10"/>
      <c r="Z249" s="10"/>
      <c r="AA249" s="10"/>
    </row>
    <row r="250" ht="37.95" customHeight="1" spans="1:27">
      <c r="A250" s="5"/>
      <c r="B250" s="5"/>
      <c r="C250" s="249"/>
      <c r="D250" s="249"/>
      <c r="E250" s="8"/>
      <c r="F250" s="249"/>
      <c r="G250" s="249"/>
      <c r="H250" s="249"/>
      <c r="I250" s="24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10"/>
      <c r="U250" s="9"/>
      <c r="V250" s="10"/>
      <c r="W250" s="10"/>
      <c r="X250" s="10"/>
      <c r="Y250" s="10"/>
      <c r="Z250" s="10"/>
      <c r="AA250" s="10"/>
    </row>
    <row r="251" spans="1:27">
      <c r="A251" s="5"/>
      <c r="B251" s="5"/>
      <c r="C251" s="250"/>
      <c r="D251" s="251" t="s">
        <v>104</v>
      </c>
      <c r="E251" s="252">
        <f>$E$7*$E$301</f>
        <v>28</v>
      </c>
      <c r="F251" s="251" t="s">
        <v>105</v>
      </c>
      <c r="G251" s="253">
        <f>$D$335</f>
        <v>0</v>
      </c>
      <c r="H251" s="251" t="s">
        <v>106</v>
      </c>
      <c r="I251" s="254">
        <v>0.3</v>
      </c>
      <c r="J251" s="255" t="s">
        <v>107</v>
      </c>
      <c r="K251" s="254">
        <f>(0.25*$E$256/$E$254-1+0.75)*(5/8*$E$256/$E$254-1+3/8)</f>
        <v>0.0411736111111111</v>
      </c>
      <c r="L251" s="256"/>
      <c r="M251" s="257"/>
      <c r="N251" s="257"/>
      <c r="O251" s="257"/>
      <c r="P251" s="257"/>
      <c r="Q251" s="257"/>
      <c r="R251" s="257"/>
      <c r="S251" s="257"/>
      <c r="T251" s="258"/>
      <c r="U251" s="259"/>
      <c r="V251" s="260"/>
      <c r="W251" s="261"/>
      <c r="X251" s="258"/>
      <c r="Y251" s="10"/>
      <c r="Z251" s="10"/>
      <c r="AA251" s="10"/>
    </row>
    <row r="252" spans="1:27">
      <c r="A252" s="5"/>
      <c r="B252" s="5"/>
      <c r="C252" s="250"/>
      <c r="D252" s="262" t="s">
        <v>108</v>
      </c>
      <c r="E252" s="263">
        <f>$E$8*$E$301</f>
        <v>17.3</v>
      </c>
      <c r="F252" s="262" t="s">
        <v>109</v>
      </c>
      <c r="G252" s="264">
        <f>E251/E252</f>
        <v>1.61849710982659</v>
      </c>
      <c r="H252" s="262" t="s">
        <v>110</v>
      </c>
      <c r="I252" s="265">
        <f>$G$256/$E$255</f>
        <v>0.513333333333333</v>
      </c>
      <c r="J252" s="266" t="s">
        <v>111</v>
      </c>
      <c r="K252" s="9">
        <f>1/$K$251</f>
        <v>24.2874009107775</v>
      </c>
      <c r="L252" s="267"/>
      <c r="M252" s="268"/>
      <c r="N252" s="9"/>
      <c r="O252" s="9"/>
      <c r="P252" s="9"/>
      <c r="Q252" s="9"/>
      <c r="R252" s="9"/>
      <c r="S252" s="9"/>
      <c r="T252" s="10"/>
      <c r="U252" s="269"/>
      <c r="V252" s="270"/>
      <c r="W252" s="271"/>
      <c r="X252" s="10"/>
      <c r="Y252" s="10"/>
      <c r="Z252" s="10"/>
      <c r="AA252" s="10"/>
    </row>
    <row r="253" spans="1:27">
      <c r="A253" s="5"/>
      <c r="B253" s="5"/>
      <c r="C253" s="9"/>
      <c r="D253" s="262"/>
      <c r="E253" s="263"/>
      <c r="F253" s="262" t="s">
        <v>112</v>
      </c>
      <c r="G253" s="272">
        <f>(($G$252-1)/$G$252)^2/(($G$252+1)/($G$252-1)-2/LN($G$252))/$G$255</f>
        <v>0.58147426224185</v>
      </c>
      <c r="H253" s="262" t="s">
        <v>113</v>
      </c>
      <c r="I253" s="273">
        <f>6/$G$255*((($G$252-1)/LN($G$252)-1)/LN($G$252))</f>
        <v>1.12857416618788</v>
      </c>
      <c r="J253" s="266" t="s">
        <v>114</v>
      </c>
      <c r="K253" s="9">
        <f>K252*(5/32*($E$256/$E$254-1)^2+1)</f>
        <v>25.2874009107775</v>
      </c>
      <c r="L253" s="266"/>
      <c r="M253" s="268"/>
      <c r="N253" s="9"/>
      <c r="O253" s="9"/>
      <c r="P253" s="9"/>
      <c r="Q253" s="9"/>
      <c r="R253" s="9"/>
      <c r="S253" s="9"/>
      <c r="T253" s="10"/>
      <c r="U253" s="269"/>
      <c r="V253" s="270"/>
      <c r="W253" s="274"/>
      <c r="X253" s="10"/>
      <c r="Y253" s="10"/>
      <c r="Z253" s="10"/>
      <c r="AA253" s="10"/>
    </row>
    <row r="254" spans="1:27">
      <c r="A254" s="5"/>
      <c r="B254" s="5"/>
      <c r="C254" s="9"/>
      <c r="D254" s="262" t="s">
        <v>72</v>
      </c>
      <c r="E254" s="263">
        <f>$E$9*$E$301</f>
        <v>1.5</v>
      </c>
      <c r="F254" s="262" t="s">
        <v>115</v>
      </c>
      <c r="G254" s="9">
        <v>1</v>
      </c>
      <c r="H254" s="262" t="s">
        <v>116</v>
      </c>
      <c r="I254" s="273">
        <f>3/$G$255*($G$252-1)/LN($G$252)</f>
        <v>1.22663276538014</v>
      </c>
      <c r="J254" s="266" t="s">
        <v>117</v>
      </c>
      <c r="K254" s="9">
        <f>K335</f>
        <v>0</v>
      </c>
      <c r="L254" s="266"/>
      <c r="M254" s="268"/>
      <c r="N254" s="9"/>
      <c r="O254" s="9"/>
      <c r="P254" s="9"/>
      <c r="Q254" s="9"/>
      <c r="R254" s="9"/>
      <c r="S254" s="9"/>
      <c r="T254" s="10"/>
      <c r="U254" s="275"/>
      <c r="V254" s="270"/>
      <c r="W254" s="274"/>
      <c r="X254" s="10"/>
      <c r="Y254" s="10"/>
      <c r="Z254" s="10"/>
      <c r="AA254" s="10"/>
    </row>
    <row r="255" spans="1:27">
      <c r="A255" s="5"/>
      <c r="B255" s="5"/>
      <c r="C255" s="9"/>
      <c r="D255" s="262" t="s">
        <v>118</v>
      </c>
      <c r="E255" s="263">
        <f>$E$271*$E$301</f>
        <v>1.5</v>
      </c>
      <c r="F255" s="262" t="s">
        <v>119</v>
      </c>
      <c r="G255" s="272">
        <f>4*ATAN(1)</f>
        <v>3.14159265358979</v>
      </c>
      <c r="H255" s="262" t="s">
        <v>120</v>
      </c>
      <c r="I255" s="276">
        <f>4*$G$251/(1-$I$251*$I$251)</f>
        <v>0</v>
      </c>
      <c r="J255" s="266" t="s">
        <v>121</v>
      </c>
      <c r="K255" s="276">
        <f>$D$335</f>
        <v>0</v>
      </c>
      <c r="L255" s="267"/>
      <c r="M255" s="268"/>
      <c r="N255" s="9"/>
      <c r="O255" s="9"/>
      <c r="P255" s="9"/>
      <c r="Q255" s="9"/>
      <c r="R255" s="9"/>
      <c r="S255" s="9"/>
      <c r="T255" s="10"/>
      <c r="U255" s="275"/>
      <c r="V255" s="270"/>
      <c r="W255" s="277"/>
      <c r="X255" s="10"/>
      <c r="Y255" s="10"/>
      <c r="Z255" s="10"/>
      <c r="AA255" s="10"/>
    </row>
    <row r="256" spans="1:27">
      <c r="A256" s="5"/>
      <c r="B256" s="5"/>
      <c r="C256" s="9"/>
      <c r="D256" s="278" t="s">
        <v>122</v>
      </c>
      <c r="E256" s="279">
        <f>$E$11*$E$301</f>
        <v>2.27</v>
      </c>
      <c r="F256" s="278" t="s">
        <v>63</v>
      </c>
      <c r="G256" s="280">
        <f>E256-E255</f>
        <v>0.77</v>
      </c>
      <c r="H256" s="278"/>
      <c r="I256" s="281"/>
      <c r="J256" s="282"/>
      <c r="K256" s="281"/>
      <c r="L256" s="267"/>
      <c r="M256" s="283"/>
      <c r="N256" s="276"/>
      <c r="O256" s="276"/>
      <c r="P256" s="276"/>
      <c r="Q256" s="276"/>
      <c r="R256" s="276"/>
      <c r="S256" s="276"/>
      <c r="T256" s="10"/>
      <c r="U256" s="275"/>
      <c r="V256" s="270"/>
      <c r="W256" s="271"/>
      <c r="X256" s="10"/>
      <c r="Y256" s="10"/>
      <c r="Z256" s="10"/>
      <c r="AA256" s="10"/>
    </row>
    <row r="257" spans="1:27">
      <c r="A257" s="5"/>
      <c r="B257" s="5"/>
      <c r="C257" s="9"/>
      <c r="D257" s="284"/>
      <c r="E257" s="285"/>
      <c r="F257" s="284"/>
      <c r="G257" s="284"/>
      <c r="H257" s="284"/>
      <c r="I257" s="284"/>
      <c r="J257" s="284"/>
      <c r="K257" s="284"/>
      <c r="L257" s="267"/>
      <c r="M257" s="283"/>
      <c r="N257" s="276"/>
      <c r="O257" s="276"/>
      <c r="P257" s="276"/>
      <c r="Q257" s="276"/>
      <c r="R257" s="276"/>
      <c r="S257" s="276"/>
      <c r="T257" s="10"/>
      <c r="U257" s="286"/>
      <c r="V257" s="270"/>
      <c r="W257" s="271"/>
      <c r="X257" s="10"/>
      <c r="Y257" s="10"/>
      <c r="Z257" s="10"/>
      <c r="AA257" s="10"/>
    </row>
    <row r="258" spans="1:27">
      <c r="A258" s="5"/>
      <c r="B258" s="5"/>
      <c r="C258" s="9"/>
      <c r="D258" s="287"/>
      <c r="E258" s="288" t="s">
        <v>123</v>
      </c>
      <c r="F258" s="289"/>
      <c r="G258" s="290"/>
      <c r="H258" s="284"/>
      <c r="I258" s="291" t="s">
        <v>124</v>
      </c>
      <c r="J258" s="292"/>
      <c r="K258" s="284"/>
      <c r="L258" s="262"/>
      <c r="M258" s="293"/>
      <c r="N258" s="294"/>
      <c r="O258" s="294"/>
      <c r="P258" s="294"/>
      <c r="Q258" s="294"/>
      <c r="R258" s="294"/>
      <c r="S258" s="294"/>
      <c r="T258" s="10"/>
      <c r="U258" s="295"/>
      <c r="V258" s="270"/>
      <c r="W258" s="274"/>
      <c r="X258" s="10"/>
      <c r="Y258" s="10"/>
      <c r="Z258" s="10"/>
      <c r="AA258" s="10"/>
    </row>
    <row r="259" spans="1:27">
      <c r="A259" s="5"/>
      <c r="B259" s="5"/>
      <c r="C259" s="9"/>
      <c r="D259" s="296" t="s">
        <v>125</v>
      </c>
      <c r="E259" s="10" t="s">
        <v>126</v>
      </c>
      <c r="F259" s="297" t="s">
        <v>127</v>
      </c>
      <c r="G259" s="298" t="s">
        <v>128</v>
      </c>
      <c r="H259" s="284"/>
      <c r="I259" s="299" t="s">
        <v>129</v>
      </c>
      <c r="J259" s="286">
        <f>$E$255/$E$254</f>
        <v>1</v>
      </c>
      <c r="K259" s="284"/>
      <c r="L259" s="262"/>
      <c r="M259" s="293"/>
      <c r="N259" s="294"/>
      <c r="O259" s="294"/>
      <c r="P259" s="294"/>
      <c r="Q259" s="294"/>
      <c r="R259" s="294"/>
      <c r="S259" s="294"/>
      <c r="T259" s="10"/>
      <c r="U259" s="295"/>
      <c r="V259" s="270"/>
      <c r="W259" s="274"/>
      <c r="X259" s="10"/>
      <c r="Y259" s="10"/>
      <c r="Z259" s="10"/>
      <c r="AA259" s="10"/>
    </row>
    <row r="260" spans="1:27">
      <c r="A260" s="5"/>
      <c r="B260" s="5"/>
      <c r="C260" s="9"/>
      <c r="D260" s="296">
        <v>1.5</v>
      </c>
      <c r="E260" s="10">
        <v>-2600</v>
      </c>
      <c r="F260" s="300">
        <f>$E$265+$E$266*D260+$E$267*D260*D260</f>
        <v>-2599.99874089803</v>
      </c>
      <c r="G260" s="298">
        <f>(E260-F260)^2</f>
        <v>1.58533777642176e-6</v>
      </c>
      <c r="H260" s="284"/>
      <c r="I260" s="299" t="s">
        <v>130</v>
      </c>
      <c r="J260" s="286">
        <f>($J$259^2)/(($E$256/(4*$E$254)-$J$259+0.75)*(5*$E$256/8/$E$254-$J$259+3/8))</f>
        <v>24.2874009107775</v>
      </c>
      <c r="K260" s="284"/>
      <c r="L260" s="262"/>
      <c r="M260" s="293"/>
      <c r="N260" s="294"/>
      <c r="O260" s="294"/>
      <c r="P260" s="294"/>
      <c r="Q260" s="294"/>
      <c r="R260" s="294"/>
      <c r="S260" s="294"/>
      <c r="T260" s="301"/>
      <c r="U260" s="286"/>
      <c r="V260" s="270"/>
      <c r="W260" s="274"/>
      <c r="X260" s="301"/>
      <c r="Y260" s="10"/>
      <c r="Z260" s="10"/>
      <c r="AA260" s="10"/>
    </row>
    <row r="261" spans="1:27">
      <c r="A261" s="5"/>
      <c r="B261" s="5"/>
      <c r="C261" s="9"/>
      <c r="D261" s="296">
        <v>2</v>
      </c>
      <c r="E261" s="10">
        <v>-3400</v>
      </c>
      <c r="F261" s="300">
        <f>$E$265+$E$266*D261+$E$267*D261*D261</f>
        <v>-3400.00133075665</v>
      </c>
      <c r="G261" s="298">
        <f>(E261-F261)^2</f>
        <v>1.77091326051409e-6</v>
      </c>
      <c r="H261" s="284"/>
      <c r="I261" s="299" t="s">
        <v>131</v>
      </c>
      <c r="J261" s="286">
        <f>(5/32*($E$256/$E$254-1)^2+1)*$J$260/($J$259^3)</f>
        <v>25.2874009107775</v>
      </c>
      <c r="K261" s="284"/>
      <c r="L261" s="262"/>
      <c r="M261" s="293"/>
      <c r="N261" s="294"/>
      <c r="O261" s="294"/>
      <c r="P261" s="294"/>
      <c r="Q261" s="294"/>
      <c r="R261" s="294"/>
      <c r="S261" s="294"/>
      <c r="T261" s="301"/>
      <c r="U261" s="302"/>
      <c r="V261" s="270"/>
      <c r="W261" s="274"/>
      <c r="X261" s="301"/>
      <c r="Y261" s="10"/>
      <c r="Z261" s="10"/>
      <c r="AA261" s="10"/>
    </row>
    <row r="262" spans="1:27">
      <c r="A262" s="5"/>
      <c r="B262" s="5"/>
      <c r="C262" s="9"/>
      <c r="D262" s="266">
        <v>2.5</v>
      </c>
      <c r="E262" s="10">
        <v>-3600</v>
      </c>
      <c r="F262" s="300">
        <f>$E$265+$E$266*D262+$E$267*D262*D262</f>
        <v>-3600.00137834285</v>
      </c>
      <c r="G262" s="298">
        <f>(E262-F262)^2</f>
        <v>1.89982900553488e-6</v>
      </c>
      <c r="H262" s="284"/>
      <c r="I262" s="299" t="s">
        <v>132</v>
      </c>
      <c r="J262" s="286">
        <f>SQRT(-$J$260/2+SQRT(($J$260/2)^2+$J$261))</f>
        <v>1</v>
      </c>
      <c r="K262" s="284"/>
      <c r="L262" s="262"/>
      <c r="M262" s="268"/>
      <c r="N262" s="9"/>
      <c r="O262" s="9"/>
      <c r="P262" s="9"/>
      <c r="Q262" s="9"/>
      <c r="R262" s="9"/>
      <c r="S262" s="9"/>
      <c r="T262" s="10"/>
      <c r="U262" s="302"/>
      <c r="V262" s="270"/>
      <c r="W262" s="277"/>
      <c r="X262" s="10"/>
      <c r="Y262" s="10"/>
      <c r="Z262" s="10"/>
      <c r="AA262" s="10"/>
    </row>
    <row r="263" spans="1:27">
      <c r="A263" s="5"/>
      <c r="B263" s="5"/>
      <c r="C263" s="9"/>
      <c r="D263" s="303"/>
      <c r="E263" s="304"/>
      <c r="F263" s="305"/>
      <c r="G263" s="306"/>
      <c r="H263" s="284"/>
      <c r="I263" s="307" t="s">
        <v>67</v>
      </c>
      <c r="J263" s="308">
        <f>($E$256-$E$255)*$J$262</f>
        <v>0.77</v>
      </c>
      <c r="K263" s="284"/>
      <c r="L263" s="262"/>
      <c r="M263" s="309"/>
      <c r="N263" s="310"/>
      <c r="O263" s="310"/>
      <c r="P263" s="310"/>
      <c r="Q263" s="310"/>
      <c r="R263" s="310"/>
      <c r="S263" s="310"/>
      <c r="T263" s="10"/>
      <c r="U263" s="286"/>
      <c r="V263" s="270"/>
      <c r="W263" s="311"/>
      <c r="X263" s="10"/>
      <c r="Y263" s="10"/>
      <c r="Z263" s="10"/>
      <c r="AA263" s="10"/>
    </row>
    <row r="264" spans="1:27">
      <c r="A264" s="5"/>
      <c r="B264" s="5"/>
      <c r="C264" s="9"/>
      <c r="D264" s="266"/>
      <c r="E264" s="10"/>
      <c r="F264" s="297"/>
      <c r="G264" s="298">
        <f>SUM(G260:G263)</f>
        <v>5.25608004247073e-6</v>
      </c>
      <c r="H264" s="284"/>
      <c r="I264" s="284"/>
      <c r="J264" s="284"/>
      <c r="K264" s="284"/>
      <c r="L264" s="278"/>
      <c r="M264" s="312"/>
      <c r="N264" s="313"/>
      <c r="O264" s="313"/>
      <c r="P264" s="313"/>
      <c r="Q264" s="313"/>
      <c r="R264" s="313"/>
      <c r="S264" s="313"/>
      <c r="T264" s="314"/>
      <c r="U264" s="308"/>
      <c r="V264" s="315"/>
      <c r="W264" s="316"/>
      <c r="X264" s="314"/>
      <c r="Y264" s="10"/>
      <c r="Z264" s="10"/>
      <c r="AA264" s="10"/>
    </row>
    <row r="265" spans="1:27">
      <c r="A265" s="5"/>
      <c r="B265" s="5"/>
      <c r="C265" s="9"/>
      <c r="D265" s="266" t="s">
        <v>133</v>
      </c>
      <c r="E265" s="10">
        <v>3400.02428231239</v>
      </c>
      <c r="F265" s="297"/>
      <c r="G265" s="298"/>
      <c r="H265" s="284"/>
      <c r="I265" s="284"/>
      <c r="J265" s="284"/>
      <c r="K265" s="284"/>
      <c r="L265" s="284"/>
      <c r="M265" s="9"/>
      <c r="N265" s="9"/>
      <c r="O265" s="9"/>
      <c r="P265" s="9"/>
      <c r="Q265" s="9"/>
      <c r="R265" s="9"/>
      <c r="S265" s="9"/>
      <c r="T265" s="10"/>
      <c r="U265" s="9"/>
      <c r="V265" s="10"/>
      <c r="W265" s="10"/>
      <c r="X265" s="10"/>
      <c r="Y265" s="10"/>
      <c r="Z265" s="10"/>
      <c r="AA265" s="10"/>
    </row>
    <row r="266" spans="1:27">
      <c r="A266" s="5"/>
      <c r="B266" s="5"/>
      <c r="C266" s="9"/>
      <c r="D266" s="266" t="s">
        <v>134</v>
      </c>
      <c r="E266" s="10">
        <v>-5800.02297562422</v>
      </c>
      <c r="F266" s="297" t="s">
        <v>135</v>
      </c>
      <c r="G266" s="298"/>
      <c r="H266" s="284"/>
      <c r="I266" s="287"/>
      <c r="J266" s="317"/>
      <c r="K266" s="289"/>
      <c r="L266" s="289"/>
      <c r="M266" s="317"/>
      <c r="N266" s="317"/>
      <c r="O266" s="317"/>
      <c r="P266" s="317"/>
      <c r="Q266" s="317"/>
      <c r="R266" s="317"/>
      <c r="S266" s="317"/>
      <c r="T266" s="318"/>
      <c r="U266" s="254"/>
      <c r="V266" s="318"/>
      <c r="W266" s="318"/>
      <c r="X266" s="319"/>
      <c r="Y266" s="10"/>
      <c r="Z266" s="10"/>
      <c r="AA266" s="10"/>
    </row>
    <row r="267" spans="1:27">
      <c r="A267" s="5"/>
      <c r="B267" s="5"/>
      <c r="C267" s="9"/>
      <c r="D267" s="282" t="s">
        <v>136</v>
      </c>
      <c r="E267" s="314">
        <v>1200.00508454485</v>
      </c>
      <c r="F267" s="320" t="s">
        <v>137</v>
      </c>
      <c r="G267" s="321"/>
      <c r="H267" s="284"/>
      <c r="I267" s="322"/>
      <c r="J267" s="305"/>
      <c r="K267" s="305"/>
      <c r="L267" s="305"/>
      <c r="M267" s="305"/>
      <c r="N267" s="305"/>
      <c r="O267" s="305"/>
      <c r="P267" s="305"/>
      <c r="Q267" s="305"/>
      <c r="R267" s="305"/>
      <c r="S267" s="305"/>
      <c r="T267" s="304"/>
      <c r="U267" s="305"/>
      <c r="V267" s="304"/>
      <c r="W267" s="304"/>
      <c r="X267" s="323"/>
      <c r="Y267" s="10"/>
      <c r="Z267" s="10"/>
      <c r="AA267" s="10"/>
    </row>
    <row r="268" spans="1:27">
      <c r="A268" s="5"/>
      <c r="B268" s="5"/>
      <c r="C268" s="9"/>
      <c r="D268" s="284"/>
      <c r="E268" s="285"/>
      <c r="F268" s="284"/>
      <c r="G268" s="284"/>
      <c r="H268" s="284"/>
      <c r="I268" s="324"/>
      <c r="J268" s="325"/>
      <c r="K268" s="326"/>
      <c r="L268" s="297"/>
      <c r="M268" s="325"/>
      <c r="N268" s="297"/>
      <c r="O268" s="297"/>
      <c r="P268" s="297"/>
      <c r="Q268" s="297"/>
      <c r="R268" s="297"/>
      <c r="S268" s="297"/>
      <c r="T268" s="327"/>
      <c r="U268" s="297"/>
      <c r="V268" s="328"/>
      <c r="W268" s="10"/>
      <c r="X268" s="329"/>
      <c r="Y268" s="10"/>
      <c r="Z268" s="10"/>
      <c r="AA268" s="10"/>
    </row>
    <row r="269" spans="1:27">
      <c r="A269" s="5"/>
      <c r="B269" s="5"/>
      <c r="C269" s="9"/>
      <c r="D269" s="330">
        <v>4</v>
      </c>
      <c r="E269" s="285"/>
      <c r="F269" s="284"/>
      <c r="G269" s="284"/>
      <c r="H269" s="284"/>
      <c r="I269" s="324"/>
      <c r="J269" s="325"/>
      <c r="K269" s="326"/>
      <c r="L269" s="297"/>
      <c r="M269" s="325"/>
      <c r="N269" s="297"/>
      <c r="O269" s="297"/>
      <c r="P269" s="297"/>
      <c r="Q269" s="297"/>
      <c r="R269" s="297"/>
      <c r="S269" s="297"/>
      <c r="T269" s="327"/>
      <c r="U269" s="297"/>
      <c r="V269" s="328"/>
      <c r="W269" s="10"/>
      <c r="X269" s="329"/>
      <c r="Y269" s="10"/>
      <c r="Z269" s="10"/>
      <c r="AA269" s="10"/>
    </row>
    <row r="270" spans="1:27">
      <c r="A270" s="5"/>
      <c r="B270" s="5"/>
      <c r="C270" s="9"/>
      <c r="D270" s="331">
        <v>1</v>
      </c>
      <c r="E270" s="285"/>
      <c r="F270" s="284"/>
      <c r="G270" s="284"/>
      <c r="H270" s="284"/>
      <c r="I270" s="332"/>
      <c r="J270" s="325"/>
      <c r="K270" s="326"/>
      <c r="L270" s="297"/>
      <c r="M270" s="325"/>
      <c r="N270" s="297"/>
      <c r="O270" s="297"/>
      <c r="P270" s="297"/>
      <c r="Q270" s="297"/>
      <c r="R270" s="297"/>
      <c r="S270" s="297"/>
      <c r="T270" s="327"/>
      <c r="U270" s="297"/>
      <c r="V270" s="328"/>
      <c r="W270" s="10"/>
      <c r="X270" s="329"/>
      <c r="Y270" s="10"/>
      <c r="Z270" s="10"/>
      <c r="AA270" s="10"/>
    </row>
    <row r="271" spans="1:27">
      <c r="A271" s="5"/>
      <c r="B271" s="5"/>
      <c r="C271" s="9"/>
      <c r="D271" s="333" t="s">
        <v>23</v>
      </c>
      <c r="E271" s="334">
        <f>E9</f>
        <v>1.5</v>
      </c>
      <c r="F271" s="335" t="str">
        <f>$E$303</f>
        <v> mm</v>
      </c>
      <c r="G271" s="284"/>
      <c r="H271" s="284"/>
      <c r="I271" s="332"/>
      <c r="J271" s="325"/>
      <c r="K271" s="326"/>
      <c r="L271" s="297"/>
      <c r="M271" s="325"/>
      <c r="N271" s="297"/>
      <c r="O271" s="297"/>
      <c r="P271" s="297"/>
      <c r="Q271" s="297"/>
      <c r="R271" s="297"/>
      <c r="S271" s="297"/>
      <c r="T271" s="327"/>
      <c r="U271" s="297"/>
      <c r="V271" s="328"/>
      <c r="W271" s="10"/>
      <c r="X271" s="329"/>
      <c r="Y271" s="10"/>
      <c r="Z271" s="10"/>
      <c r="AA271" s="10"/>
    </row>
    <row r="272" ht="19.5" spans="1:27">
      <c r="A272" s="5"/>
      <c r="B272" s="5"/>
      <c r="C272" s="284"/>
      <c r="D272" s="336" t="s">
        <v>138</v>
      </c>
      <c r="E272" s="337">
        <f>$E$11-$E$271</f>
        <v>0.77</v>
      </c>
      <c r="F272" s="284"/>
      <c r="G272" s="284"/>
      <c r="H272" s="284"/>
      <c r="I272" s="324"/>
      <c r="J272" s="338"/>
      <c r="K272" s="326"/>
      <c r="L272" s="297"/>
      <c r="M272" s="338"/>
      <c r="N272" s="339"/>
      <c r="O272" s="339"/>
      <c r="P272" s="339"/>
      <c r="Q272" s="339"/>
      <c r="R272" s="339"/>
      <c r="S272" s="339"/>
      <c r="T272" s="327"/>
      <c r="U272" s="297"/>
      <c r="V272" s="340"/>
      <c r="W272" s="10"/>
      <c r="X272" s="329"/>
      <c r="Y272" s="10"/>
      <c r="Z272" s="10"/>
      <c r="AA272" s="10"/>
    </row>
    <row r="273" ht="19.5" spans="1:27">
      <c r="A273" s="5"/>
      <c r="B273" s="5"/>
      <c r="C273" s="284"/>
      <c r="D273" s="341" t="s">
        <v>139</v>
      </c>
      <c r="E273" s="342">
        <f>$E$272/$E$271</f>
        <v>0.513333333333333</v>
      </c>
      <c r="F273" s="343" t="s">
        <v>140</v>
      </c>
      <c r="G273" s="344">
        <f>$E$251/$E$252</f>
        <v>1.61849710982659</v>
      </c>
      <c r="H273" s="284"/>
      <c r="I273" s="324"/>
      <c r="J273" s="338"/>
      <c r="K273" s="326"/>
      <c r="L273" s="297"/>
      <c r="M273" s="338"/>
      <c r="N273" s="339"/>
      <c r="O273" s="339"/>
      <c r="P273" s="339"/>
      <c r="Q273" s="339"/>
      <c r="R273" s="339"/>
      <c r="S273" s="339"/>
      <c r="T273" s="327"/>
      <c r="U273" s="297"/>
      <c r="V273" s="340"/>
      <c r="W273" s="10"/>
      <c r="X273" s="329"/>
      <c r="Y273" s="10"/>
      <c r="Z273" s="10"/>
      <c r="AA273" s="10"/>
    </row>
    <row r="274" ht="19.5" spans="1:27">
      <c r="A274" s="5"/>
      <c r="B274" s="5"/>
      <c r="C274" s="284"/>
      <c r="D274" s="345" t="s">
        <v>141</v>
      </c>
      <c r="E274" s="346">
        <f>$E$13/$E$9</f>
        <v>0.513333333333333</v>
      </c>
      <c r="F274" s="284"/>
      <c r="G274" s="284"/>
      <c r="H274" s="284"/>
      <c r="I274" s="303"/>
      <c r="J274" s="347"/>
      <c r="K274" s="305"/>
      <c r="L274" s="305"/>
      <c r="M274" s="347"/>
      <c r="N274" s="305"/>
      <c r="O274" s="305"/>
      <c r="P274" s="305"/>
      <c r="Q274" s="305"/>
      <c r="R274" s="305"/>
      <c r="S274" s="305"/>
      <c r="T274" s="304"/>
      <c r="U274" s="305"/>
      <c r="V274" s="348"/>
      <c r="W274" s="304"/>
      <c r="X274" s="323"/>
      <c r="Y274" s="10"/>
      <c r="Z274" s="10"/>
      <c r="AA274" s="10"/>
    </row>
    <row r="275" spans="1:27">
      <c r="A275" s="5"/>
      <c r="B275" s="5"/>
      <c r="C275" s="249"/>
      <c r="D275" s="284"/>
      <c r="E275" s="285"/>
      <c r="F275" s="284"/>
      <c r="G275" s="284"/>
      <c r="H275" s="284"/>
      <c r="I275" s="266"/>
      <c r="J275" s="325"/>
      <c r="K275" s="297"/>
      <c r="L275" s="297"/>
      <c r="M275" s="325"/>
      <c r="N275" s="297"/>
      <c r="O275" s="297"/>
      <c r="P275" s="297"/>
      <c r="Q275" s="297"/>
      <c r="R275" s="297"/>
      <c r="S275" s="297"/>
      <c r="T275" s="10"/>
      <c r="U275" s="297"/>
      <c r="V275" s="328"/>
      <c r="W275" s="10"/>
      <c r="X275" s="329"/>
      <c r="Y275" s="10"/>
      <c r="Z275" s="10"/>
      <c r="AA275" s="10"/>
    </row>
    <row r="276" spans="1:27">
      <c r="A276" s="5"/>
      <c r="B276" s="5"/>
      <c r="C276" s="249"/>
      <c r="D276" s="284"/>
      <c r="E276" s="285"/>
      <c r="F276" s="284"/>
      <c r="G276" s="284"/>
      <c r="H276" s="284"/>
      <c r="I276" s="266"/>
      <c r="J276" s="325"/>
      <c r="K276" s="297"/>
      <c r="L276" s="297"/>
      <c r="M276" s="325"/>
      <c r="N276" s="297"/>
      <c r="O276" s="297"/>
      <c r="P276" s="297"/>
      <c r="Q276" s="297"/>
      <c r="R276" s="297"/>
      <c r="S276" s="297"/>
      <c r="T276" s="10"/>
      <c r="U276" s="297"/>
      <c r="V276" s="328"/>
      <c r="W276" s="10"/>
      <c r="X276" s="329"/>
      <c r="Y276" s="10"/>
      <c r="Z276" s="10"/>
      <c r="AA276" s="10"/>
    </row>
    <row r="277" spans="1:27">
      <c r="A277" s="5"/>
      <c r="B277" s="5"/>
      <c r="C277" s="349"/>
      <c r="D277" s="350" t="s">
        <v>142</v>
      </c>
      <c r="E277" s="351" t="s">
        <v>143</v>
      </c>
      <c r="F277" s="284"/>
      <c r="G277" s="284"/>
      <c r="H277" s="284"/>
      <c r="I277" s="282"/>
      <c r="J277" s="352"/>
      <c r="K277" s="320"/>
      <c r="L277" s="320"/>
      <c r="M277" s="352"/>
      <c r="N277" s="320"/>
      <c r="O277" s="320"/>
      <c r="P277" s="320"/>
      <c r="Q277" s="320"/>
      <c r="R277" s="320"/>
      <c r="S277" s="320"/>
      <c r="T277" s="314"/>
      <c r="U277" s="320"/>
      <c r="V277" s="353"/>
      <c r="W277" s="314"/>
      <c r="X277" s="354"/>
      <c r="Y277" s="10"/>
      <c r="Z277" s="10"/>
      <c r="AA277" s="10"/>
    </row>
    <row r="278" spans="1:27">
      <c r="A278" s="5"/>
      <c r="B278" s="5"/>
      <c r="C278" s="349"/>
      <c r="D278" s="355"/>
      <c r="E278" s="356"/>
      <c r="F278" s="284"/>
      <c r="G278" s="284"/>
      <c r="H278" s="284"/>
      <c r="I278" s="284"/>
      <c r="J278" s="284"/>
      <c r="K278" s="284"/>
      <c r="L278" s="284"/>
      <c r="M278" s="9"/>
      <c r="N278" s="9"/>
      <c r="O278" s="9"/>
      <c r="P278" s="9"/>
      <c r="Q278" s="9"/>
      <c r="R278" s="9"/>
      <c r="S278" s="9"/>
      <c r="T278" s="10"/>
      <c r="U278" s="9"/>
      <c r="V278" s="10"/>
      <c r="W278" s="10"/>
      <c r="X278" s="10"/>
      <c r="Y278" s="10"/>
      <c r="Z278" s="10"/>
      <c r="AA278" s="8"/>
    </row>
    <row r="279" spans="1:27">
      <c r="A279" s="5"/>
      <c r="B279" s="5"/>
      <c r="C279" s="349"/>
      <c r="D279" s="355" t="e">
        <f>($G$256/$E$255-#REF!*$E$301/$E$255)*($G$256/$E$255-#REF!*$E$301/2/$E$255)+$G$254</f>
        <v>#REF!</v>
      </c>
      <c r="E279" s="356"/>
      <c r="F279" s="284"/>
      <c r="G279" s="284"/>
      <c r="H279" s="284"/>
      <c r="I279" s="287"/>
      <c r="J279" s="317"/>
      <c r="K279" s="317"/>
      <c r="L279" s="317"/>
      <c r="M279" s="317"/>
      <c r="N279" s="317"/>
      <c r="O279" s="317"/>
      <c r="P279" s="317"/>
      <c r="Q279" s="317"/>
      <c r="R279" s="317"/>
      <c r="S279" s="317"/>
      <c r="T279" s="318"/>
      <c r="U279" s="357"/>
      <c r="V279" s="10"/>
      <c r="W279" s="10"/>
      <c r="X279" s="10"/>
      <c r="Y279" s="10"/>
      <c r="Z279" s="10"/>
      <c r="AA279" s="8"/>
    </row>
    <row r="280" spans="1:27">
      <c r="A280" s="5"/>
      <c r="B280" s="5"/>
      <c r="C280" s="349"/>
      <c r="D280" s="358" t="e">
        <f>$J$262*($J$263/$E$255-#REF!*$E$301*$J$262/$E$255)*($J$263/$E$255-#REF!*$E$301*$J$262/2/$E$255)+$G$254</f>
        <v>#REF!</v>
      </c>
      <c r="E280" s="356" t="e">
        <f>#REF!*1</f>
        <v>#REF!</v>
      </c>
      <c r="F280" s="284"/>
      <c r="G280" s="284"/>
      <c r="H280" s="284"/>
      <c r="I280" s="322"/>
      <c r="J280" s="305"/>
      <c r="K280" s="305"/>
      <c r="L280" s="305"/>
      <c r="M280" s="305"/>
      <c r="N280" s="305"/>
      <c r="O280" s="305"/>
      <c r="P280" s="305"/>
      <c r="Q280" s="305"/>
      <c r="R280" s="305"/>
      <c r="S280" s="305"/>
      <c r="T280" s="304"/>
      <c r="U280" s="306"/>
      <c r="V280" s="10"/>
      <c r="W280" s="10"/>
      <c r="X280" s="10"/>
      <c r="Y280" s="10"/>
      <c r="Z280" s="10"/>
      <c r="AA280" s="8"/>
    </row>
    <row r="281" spans="1:27">
      <c r="A281" s="5"/>
      <c r="B281" s="5"/>
      <c r="C281" s="349"/>
      <c r="D281" s="355" t="e">
        <f>($J$263/$E$255-#REF!*$E$301*$J$262/$E$255)*($J$263/$E$255-#REF!*$E$301*$J$262/2/$E$255)+$G$254</f>
        <v>#REF!</v>
      </c>
      <c r="E281" s="356" t="e">
        <f>#REF!*1</f>
        <v>#REF!</v>
      </c>
      <c r="F281" s="9"/>
      <c r="G281" s="359"/>
      <c r="H281" s="9"/>
      <c r="I281" s="360"/>
      <c r="J281" s="361"/>
      <c r="K281" s="300"/>
      <c r="L281" s="297"/>
      <c r="M281" s="361"/>
      <c r="N281" s="300"/>
      <c r="O281" s="300"/>
      <c r="P281" s="300"/>
      <c r="Q281" s="300"/>
      <c r="R281" s="300"/>
      <c r="S281" s="300"/>
      <c r="T281" s="327"/>
      <c r="U281" s="298"/>
      <c r="V281" s="10"/>
      <c r="W281" s="10"/>
      <c r="X281" s="10"/>
      <c r="Y281" s="10"/>
      <c r="Z281" s="10"/>
      <c r="AA281" s="8"/>
    </row>
    <row r="282" spans="1:27">
      <c r="A282" s="5"/>
      <c r="B282" s="5"/>
      <c r="C282" s="349"/>
      <c r="D282" s="355" t="e">
        <f>($J$263/$E$255-#REF!*$E$301*$J$262/$E$255)*($J$263/$E$255-#REF!*$E$301*$J$262/2/$E$255)+$G$254</f>
        <v>#REF!</v>
      </c>
      <c r="E282" s="356" t="e">
        <f>#REF!*1</f>
        <v>#REF!</v>
      </c>
      <c r="F282" s="9"/>
      <c r="G282" s="359"/>
      <c r="H282" s="9"/>
      <c r="I282" s="360"/>
      <c r="J282" s="361"/>
      <c r="K282" s="300"/>
      <c r="L282" s="297"/>
      <c r="M282" s="361"/>
      <c r="N282" s="300"/>
      <c r="O282" s="300"/>
      <c r="P282" s="300"/>
      <c r="Q282" s="300"/>
      <c r="R282" s="300"/>
      <c r="S282" s="300"/>
      <c r="T282" s="327"/>
      <c r="U282" s="298"/>
      <c r="V282" s="10"/>
      <c r="W282" s="10"/>
      <c r="X282" s="10"/>
      <c r="Y282" s="10"/>
      <c r="Z282" s="10"/>
      <c r="AA282" s="8"/>
    </row>
    <row r="283" spans="1:27">
      <c r="A283" s="5"/>
      <c r="B283" s="5"/>
      <c r="C283" s="349"/>
      <c r="D283" s="355" t="e">
        <f>($J$263/$E$255-#REF!*$E$301*$J$262/$E$255)*($J$263/$E$255-#REF!*$E$301*$J$262/2/$E$255)+$G$254</f>
        <v>#REF!</v>
      </c>
      <c r="E283" s="356" t="e">
        <f>#REF!*1</f>
        <v>#REF!</v>
      </c>
      <c r="F283" s="9"/>
      <c r="G283" s="359"/>
      <c r="H283" s="9"/>
      <c r="I283" s="362"/>
      <c r="J283" s="361"/>
      <c r="K283" s="300"/>
      <c r="L283" s="297"/>
      <c r="M283" s="361"/>
      <c r="N283" s="300"/>
      <c r="O283" s="300"/>
      <c r="P283" s="300"/>
      <c r="Q283" s="300"/>
      <c r="R283" s="300"/>
      <c r="S283" s="300"/>
      <c r="T283" s="327"/>
      <c r="U283" s="298"/>
      <c r="V283" s="10"/>
      <c r="W283" s="10"/>
      <c r="X283" s="10"/>
      <c r="Y283" s="10"/>
      <c r="Z283" s="10"/>
      <c r="AA283" s="8"/>
    </row>
    <row r="284" spans="1:27">
      <c r="A284" s="5"/>
      <c r="B284" s="5"/>
      <c r="C284" s="349"/>
      <c r="D284" s="355" t="e">
        <f>($J$263/$E$255-#REF!*$E$301*$J$262/$E$255)*($J$263/$E$255-#REF!*$E$301*$J$262/2/$E$255)+$G$254</f>
        <v>#REF!</v>
      </c>
      <c r="E284" s="356" t="e">
        <f>#REF!*1</f>
        <v>#REF!</v>
      </c>
      <c r="F284" s="9"/>
      <c r="G284" s="9"/>
      <c r="H284" s="9"/>
      <c r="I284" s="362"/>
      <c r="J284" s="361"/>
      <c r="K284" s="300"/>
      <c r="L284" s="297"/>
      <c r="M284" s="361"/>
      <c r="N284" s="300"/>
      <c r="O284" s="300"/>
      <c r="P284" s="300"/>
      <c r="Q284" s="300"/>
      <c r="R284" s="300"/>
      <c r="S284" s="300"/>
      <c r="T284" s="327"/>
      <c r="U284" s="298"/>
      <c r="V284" s="10"/>
      <c r="W284" s="10"/>
      <c r="X284" s="10"/>
      <c r="Y284" s="10"/>
      <c r="Z284" s="10"/>
      <c r="AA284" s="8"/>
    </row>
    <row r="285" spans="1:27">
      <c r="A285" s="5"/>
      <c r="B285" s="5"/>
      <c r="C285" s="349"/>
      <c r="D285" s="363">
        <f>($J$263/$E$255-E289*$E$301*$J$262/$E$255)*($J$263/$E$255-E289*$E$301*$J$262/2/$E$255)+$G$254</f>
        <v>1</v>
      </c>
      <c r="E285" s="364" t="e">
        <f>#REF!*1</f>
        <v>#REF!</v>
      </c>
      <c r="F285" s="284"/>
      <c r="G285" s="284"/>
      <c r="H285" s="284"/>
      <c r="I285" s="360"/>
      <c r="J285" s="365"/>
      <c r="K285" s="300"/>
      <c r="L285" s="297"/>
      <c r="M285" s="365"/>
      <c r="N285" s="366"/>
      <c r="O285" s="366"/>
      <c r="P285" s="366"/>
      <c r="Q285" s="366"/>
      <c r="R285" s="366"/>
      <c r="S285" s="366"/>
      <c r="T285" s="327"/>
      <c r="U285" s="298"/>
      <c r="V285" s="10"/>
      <c r="W285" s="10"/>
      <c r="X285" s="10"/>
      <c r="Y285" s="10"/>
      <c r="Z285" s="10"/>
      <c r="AA285" s="8"/>
    </row>
    <row r="286" spans="1:27">
      <c r="A286" s="5"/>
      <c r="B286" s="5"/>
      <c r="C286" s="9"/>
      <c r="D286" s="284"/>
      <c r="E286" s="285"/>
      <c r="F286" s="284"/>
      <c r="G286" s="284"/>
      <c r="H286" s="284"/>
      <c r="I286" s="360"/>
      <c r="J286" s="365"/>
      <c r="K286" s="300"/>
      <c r="L286" s="297"/>
      <c r="M286" s="365"/>
      <c r="N286" s="366"/>
      <c r="O286" s="366"/>
      <c r="P286" s="366"/>
      <c r="Q286" s="366"/>
      <c r="R286" s="366"/>
      <c r="S286" s="366"/>
      <c r="T286" s="327"/>
      <c r="U286" s="298"/>
      <c r="V286" s="10"/>
      <c r="W286" s="10"/>
      <c r="X286" s="10"/>
      <c r="Y286" s="10"/>
      <c r="Z286" s="10"/>
      <c r="AA286" s="10"/>
    </row>
    <row r="287" spans="1:27">
      <c r="A287" s="5"/>
      <c r="B287" s="5"/>
      <c r="C287" s="9"/>
      <c r="D287" s="367" t="e">
        <f>#REF!</f>
        <v>#REF!</v>
      </c>
      <c r="E287" s="368" t="e">
        <f>#REF!</f>
        <v>#REF!</v>
      </c>
      <c r="F287" s="284"/>
      <c r="G287" s="284"/>
      <c r="H287" s="284"/>
      <c r="I287" s="303"/>
      <c r="J287" s="347"/>
      <c r="K287" s="305"/>
      <c r="L287" s="305"/>
      <c r="M287" s="347"/>
      <c r="N287" s="305"/>
      <c r="O287" s="305"/>
      <c r="P287" s="305"/>
      <c r="Q287" s="305"/>
      <c r="R287" s="305"/>
      <c r="S287" s="305"/>
      <c r="T287" s="304"/>
      <c r="U287" s="306"/>
      <c r="V287" s="10"/>
      <c r="W287" s="10"/>
      <c r="X287" s="10"/>
      <c r="Y287" s="10"/>
      <c r="Z287" s="10"/>
      <c r="AA287" s="10"/>
    </row>
    <row r="288" spans="1:27">
      <c r="A288" s="5"/>
      <c r="B288" s="5"/>
      <c r="C288" s="9"/>
      <c r="D288" s="367" t="str">
        <f>$E$303</f>
        <v> mm</v>
      </c>
      <c r="E288" s="368" t="str">
        <f>$E$303</f>
        <v> mm</v>
      </c>
      <c r="F288" s="284"/>
      <c r="G288" s="284"/>
      <c r="H288" s="284"/>
      <c r="I288" s="266"/>
      <c r="J288" s="325"/>
      <c r="K288" s="297"/>
      <c r="L288" s="297"/>
      <c r="M288" s="325"/>
      <c r="N288" s="297"/>
      <c r="O288" s="297"/>
      <c r="P288" s="297"/>
      <c r="Q288" s="297"/>
      <c r="R288" s="297"/>
      <c r="S288" s="297"/>
      <c r="T288" s="10"/>
      <c r="U288" s="298"/>
      <c r="V288" s="10"/>
      <c r="W288" s="10"/>
      <c r="X288" s="10"/>
      <c r="Y288" s="10"/>
      <c r="Z288" s="10"/>
      <c r="AA288" s="10"/>
    </row>
    <row r="289" spans="1:27">
      <c r="A289" s="5"/>
      <c r="B289" s="5"/>
      <c r="C289" s="9"/>
      <c r="D289" s="369">
        <f>E9</f>
        <v>1.5</v>
      </c>
      <c r="E289" s="370">
        <f>IF((D289&gt;($E$11+0.00001)),"l_1 &gt; l_0",$E$11-D289)</f>
        <v>0.77</v>
      </c>
      <c r="F289" s="284"/>
      <c r="G289" s="284"/>
      <c r="H289" s="284"/>
      <c r="I289" s="266"/>
      <c r="J289" s="325"/>
      <c r="K289" s="297"/>
      <c r="L289" s="297"/>
      <c r="M289" s="325"/>
      <c r="N289" s="297"/>
      <c r="O289" s="297"/>
      <c r="P289" s="297"/>
      <c r="Q289" s="297"/>
      <c r="R289" s="297"/>
      <c r="S289" s="297"/>
      <c r="T289" s="10"/>
      <c r="U289" s="298"/>
      <c r="V289" s="10"/>
      <c r="W289" s="10"/>
      <c r="X289" s="10"/>
      <c r="Y289" s="10"/>
      <c r="Z289" s="10"/>
      <c r="AA289" s="10"/>
    </row>
    <row r="290" spans="1:27">
      <c r="A290" s="5"/>
      <c r="B290" s="5"/>
      <c r="C290" s="9"/>
      <c r="D290" s="9"/>
      <c r="E290" s="285"/>
      <c r="F290" s="284"/>
      <c r="G290" s="284"/>
      <c r="H290" s="284"/>
      <c r="I290" s="282"/>
      <c r="J290" s="352"/>
      <c r="K290" s="320"/>
      <c r="L290" s="320"/>
      <c r="M290" s="352"/>
      <c r="N290" s="320"/>
      <c r="O290" s="320"/>
      <c r="P290" s="320"/>
      <c r="Q290" s="320"/>
      <c r="R290" s="320"/>
      <c r="S290" s="320"/>
      <c r="T290" s="314"/>
      <c r="U290" s="321"/>
      <c r="V290" s="10"/>
      <c r="W290" s="10"/>
      <c r="X290" s="371"/>
      <c r="Y290" s="371"/>
      <c r="Z290" s="371"/>
      <c r="AA290" s="10"/>
    </row>
    <row r="291" spans="1:27">
      <c r="A291" s="5"/>
      <c r="B291" s="5"/>
      <c r="C291" s="9"/>
      <c r="D291" s="9"/>
      <c r="E291" s="285"/>
      <c r="F291" s="284"/>
      <c r="G291" s="284"/>
      <c r="H291" s="284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10"/>
      <c r="U291" s="9"/>
      <c r="V291" s="10"/>
      <c r="W291" s="10"/>
      <c r="X291" s="10"/>
      <c r="Y291" s="10"/>
      <c r="Z291" s="10"/>
      <c r="AA291" s="10"/>
    </row>
    <row r="292" spans="1:27">
      <c r="A292" s="5"/>
      <c r="B292" s="5"/>
      <c r="C292" s="249"/>
      <c r="D292" s="9"/>
      <c r="E292" s="285"/>
      <c r="F292" s="284"/>
      <c r="G292" s="284"/>
      <c r="H292" s="284"/>
      <c r="I292" s="287"/>
      <c r="J292" s="317"/>
      <c r="K292" s="317"/>
      <c r="L292" s="317"/>
      <c r="M292" s="317"/>
      <c r="N292" s="317"/>
      <c r="O292" s="317"/>
      <c r="P292" s="317"/>
      <c r="Q292" s="317"/>
      <c r="R292" s="317"/>
      <c r="S292" s="317"/>
      <c r="T292" s="318"/>
      <c r="U292" s="357"/>
      <c r="V292" s="10"/>
      <c r="W292" s="10"/>
      <c r="X292" s="10"/>
      <c r="Y292" s="10"/>
      <c r="Z292" s="10"/>
      <c r="AA292" s="10"/>
    </row>
    <row r="293" spans="1:27">
      <c r="A293" s="5"/>
      <c r="B293" s="5"/>
      <c r="C293" s="249"/>
      <c r="D293" s="9"/>
      <c r="E293" s="285"/>
      <c r="F293" s="284"/>
      <c r="G293" s="284"/>
      <c r="H293" s="284"/>
      <c r="I293" s="322"/>
      <c r="J293" s="305"/>
      <c r="K293" s="305"/>
      <c r="L293" s="305"/>
      <c r="M293" s="305"/>
      <c r="N293" s="305"/>
      <c r="O293" s="305"/>
      <c r="P293" s="305"/>
      <c r="Q293" s="305"/>
      <c r="R293" s="305"/>
      <c r="S293" s="305"/>
      <c r="T293" s="304"/>
      <c r="U293" s="306"/>
      <c r="V293" s="10"/>
      <c r="W293" s="10"/>
      <c r="X293" s="10"/>
      <c r="Y293" s="10"/>
      <c r="Z293" s="10"/>
      <c r="AA293" s="10"/>
    </row>
    <row r="294" spans="1:27">
      <c r="A294" s="5"/>
      <c r="B294" s="5"/>
      <c r="C294" s="249"/>
      <c r="D294" s="9"/>
      <c r="E294" s="285"/>
      <c r="F294" s="284"/>
      <c r="G294" s="284"/>
      <c r="H294" s="284"/>
      <c r="I294" s="360"/>
      <c r="J294" s="361"/>
      <c r="K294" s="300"/>
      <c r="L294" s="297"/>
      <c r="M294" s="361"/>
      <c r="N294" s="300"/>
      <c r="O294" s="300"/>
      <c r="P294" s="300"/>
      <c r="Q294" s="300"/>
      <c r="R294" s="300"/>
      <c r="S294" s="300"/>
      <c r="T294" s="327"/>
      <c r="U294" s="298"/>
      <c r="V294" s="10"/>
      <c r="W294" s="10"/>
      <c r="X294" s="10"/>
      <c r="Y294" s="10"/>
      <c r="Z294" s="10"/>
      <c r="AA294" s="10"/>
    </row>
    <row r="295" spans="1:27">
      <c r="A295" s="5"/>
      <c r="B295" s="5"/>
      <c r="C295" s="9"/>
      <c r="D295" s="372" t="s">
        <v>144</v>
      </c>
      <c r="E295" s="373"/>
      <c r="F295" s="9"/>
      <c r="G295" s="9"/>
      <c r="H295" s="9"/>
      <c r="I295" s="360"/>
      <c r="J295" s="361"/>
      <c r="K295" s="300"/>
      <c r="L295" s="297"/>
      <c r="M295" s="361"/>
      <c r="N295" s="300"/>
      <c r="O295" s="300"/>
      <c r="P295" s="300"/>
      <c r="Q295" s="300"/>
      <c r="R295" s="300"/>
      <c r="S295" s="300"/>
      <c r="T295" s="327"/>
      <c r="U295" s="298"/>
      <c r="V295" s="10"/>
      <c r="W295" s="10"/>
      <c r="X295" s="10"/>
      <c r="Y295" s="10"/>
      <c r="Z295" s="10"/>
      <c r="AA295" s="10"/>
    </row>
    <row r="296" spans="1:27">
      <c r="A296" s="5"/>
      <c r="B296" s="5"/>
      <c r="C296" s="9"/>
      <c r="D296" s="374">
        <f>IF($E$252&lt;6,$E$252+0.12,IF($E$252&lt;10,$E$252+0.15,IF($E$252&lt;18,$E$252+0.18,IF($E$252&lt;30,$E$252+0.21,IF($E$252&lt;50,$E$252+0.25,IF($E$252&lt;80,$E$252+0.3,IF($E$252&lt;120,$E$252+0.35,$E$296)))))))</f>
        <v>17.48</v>
      </c>
      <c r="E296" s="375">
        <f>IF($E$252&lt;180,$E$252+0.4,IF($E$252&lt;250,$E$252+0.46,IF($E$252&lt;315,$E$252+0.52,IF($E$252&lt;400,$E$252+0.57,IF($E$252&lt;500,$E$252+0.63,IF($E$252&lt;600,$E$252+0.68,$E$252+0.75))))))</f>
        <v>17.7</v>
      </c>
      <c r="F296" s="9"/>
      <c r="G296" s="9"/>
      <c r="H296" s="9"/>
      <c r="I296" s="362"/>
      <c r="J296" s="361"/>
      <c r="K296" s="300"/>
      <c r="L296" s="297"/>
      <c r="M296" s="361"/>
      <c r="N296" s="300"/>
      <c r="O296" s="300"/>
      <c r="P296" s="300"/>
      <c r="Q296" s="300"/>
      <c r="R296" s="300"/>
      <c r="S296" s="300"/>
      <c r="T296" s="327"/>
      <c r="U296" s="298"/>
      <c r="V296" s="10"/>
      <c r="W296" s="10"/>
      <c r="X296" s="10"/>
      <c r="Y296" s="10"/>
      <c r="Z296" s="10"/>
      <c r="AA296" s="10"/>
    </row>
    <row r="297" spans="1:27">
      <c r="A297" s="5"/>
      <c r="B297" s="5"/>
      <c r="C297" s="249"/>
      <c r="D297" s="376">
        <f>IF($E$251&lt;6,$E$251-0.12,IF($E$251&lt;10,$E$251-0.15,IF($E$251&lt;18,$E$251-0.18,IF($E$251&lt;30,$E$251-0.21,IF($E$251&lt;50,$E$251-0.25,IF($E$251&lt;80,$E$251-0.3,IF($E$251&lt;120,$E$251-0.35,$E$297)))))))</f>
        <v>27.79</v>
      </c>
      <c r="E297" s="377">
        <f>IF($E$251&lt;180,$E$251-0.4,IF($E$251&lt;250,$E$251-0.46,IF($E$251&lt;315,$E$251-0.52,IF($E$251&lt;400,$E$251-0.57,IF($E$251&lt;500,$E$251-0.63,IF($E$251&lt;600,$E$251-0.68,$E$251-0.75))))))</f>
        <v>27.6</v>
      </c>
      <c r="F297" s="9"/>
      <c r="G297" s="9"/>
      <c r="H297" s="9"/>
      <c r="I297" s="362"/>
      <c r="J297" s="361"/>
      <c r="K297" s="300"/>
      <c r="L297" s="297"/>
      <c r="M297" s="361"/>
      <c r="N297" s="300"/>
      <c r="O297" s="300"/>
      <c r="P297" s="300"/>
      <c r="Q297" s="300"/>
      <c r="R297" s="300"/>
      <c r="S297" s="300"/>
      <c r="T297" s="327"/>
      <c r="U297" s="298"/>
      <c r="V297" s="10"/>
      <c r="W297" s="10"/>
      <c r="X297" s="10"/>
      <c r="Y297" s="10"/>
      <c r="Z297" s="10"/>
      <c r="AA297" s="10"/>
    </row>
    <row r="298" spans="1:27">
      <c r="A298" s="5"/>
      <c r="B298" s="5"/>
      <c r="C298" s="9"/>
      <c r="D298" s="9"/>
      <c r="E298" s="10"/>
      <c r="F298" s="9"/>
      <c r="G298" s="9"/>
      <c r="H298" s="9"/>
      <c r="I298" s="360"/>
      <c r="J298" s="365"/>
      <c r="K298" s="300"/>
      <c r="L298" s="297"/>
      <c r="M298" s="365"/>
      <c r="N298" s="366"/>
      <c r="O298" s="366"/>
      <c r="P298" s="366"/>
      <c r="Q298" s="366"/>
      <c r="R298" s="366"/>
      <c r="S298" s="366"/>
      <c r="T298" s="327"/>
      <c r="U298" s="298"/>
      <c r="V298" s="10"/>
      <c r="W298" s="10"/>
      <c r="X298" s="10"/>
      <c r="Y298" s="10"/>
      <c r="Z298" s="10"/>
      <c r="AA298" s="10"/>
    </row>
    <row r="299" spans="1:27">
      <c r="A299" s="5"/>
      <c r="B299" s="5"/>
      <c r="C299" s="9"/>
      <c r="D299" s="9"/>
      <c r="E299" s="10"/>
      <c r="F299" s="9"/>
      <c r="G299" s="9"/>
      <c r="H299" s="9"/>
      <c r="I299" s="360"/>
      <c r="J299" s="365"/>
      <c r="K299" s="300"/>
      <c r="L299" s="297"/>
      <c r="M299" s="365"/>
      <c r="N299" s="366"/>
      <c r="O299" s="366"/>
      <c r="P299" s="366"/>
      <c r="Q299" s="366"/>
      <c r="R299" s="366"/>
      <c r="S299" s="366"/>
      <c r="T299" s="327"/>
      <c r="U299" s="298"/>
      <c r="V299" s="10"/>
      <c r="W299" s="10"/>
      <c r="X299" s="10"/>
      <c r="Y299" s="10"/>
      <c r="Z299" s="10"/>
      <c r="AA299" s="10"/>
    </row>
    <row r="300" spans="1:27">
      <c r="A300" s="5"/>
      <c r="B300" s="5"/>
      <c r="C300" s="9"/>
      <c r="D300" s="378" t="s">
        <v>145</v>
      </c>
      <c r="E300" s="379"/>
      <c r="F300" s="380"/>
      <c r="G300" s="381"/>
      <c r="H300" s="9"/>
      <c r="I300" s="303"/>
      <c r="J300" s="347"/>
      <c r="K300" s="305"/>
      <c r="L300" s="305"/>
      <c r="M300" s="347"/>
      <c r="N300" s="305"/>
      <c r="O300" s="305"/>
      <c r="P300" s="305"/>
      <c r="Q300" s="305"/>
      <c r="R300" s="305"/>
      <c r="S300" s="305"/>
      <c r="T300" s="304"/>
      <c r="U300" s="306"/>
      <c r="V300" s="10"/>
      <c r="W300" s="10"/>
      <c r="X300" s="10"/>
      <c r="Y300" s="10"/>
      <c r="Z300" s="10"/>
      <c r="AA300" s="10"/>
    </row>
    <row r="301" spans="1:27">
      <c r="A301" s="5"/>
      <c r="B301" s="5"/>
      <c r="C301" s="9"/>
      <c r="D301" s="382" t="s">
        <v>146</v>
      </c>
      <c r="E301" s="8">
        <f t="shared" ref="E301:E312" si="6">IF($D$270=2,$G301,$F301)</f>
        <v>1</v>
      </c>
      <c r="F301" s="383">
        <v>1</v>
      </c>
      <c r="G301" s="384">
        <v>25.4</v>
      </c>
      <c r="H301" s="9"/>
      <c r="I301" s="266"/>
      <c r="J301" s="325"/>
      <c r="K301" s="297"/>
      <c r="L301" s="297"/>
      <c r="M301" s="325"/>
      <c r="N301" s="297"/>
      <c r="O301" s="297"/>
      <c r="P301" s="297"/>
      <c r="Q301" s="297"/>
      <c r="R301" s="297"/>
      <c r="S301" s="297"/>
      <c r="T301" s="10"/>
      <c r="U301" s="298"/>
      <c r="V301" s="10"/>
      <c r="W301" s="10"/>
      <c r="X301" s="10"/>
      <c r="Y301" s="10"/>
      <c r="Z301" s="10"/>
      <c r="AA301" s="10"/>
    </row>
    <row r="302" spans="1:27">
      <c r="A302" s="5"/>
      <c r="B302" s="5"/>
      <c r="C302" s="9"/>
      <c r="D302" s="382" t="s">
        <v>147</v>
      </c>
      <c r="E302" s="8">
        <f t="shared" si="6"/>
        <v>1</v>
      </c>
      <c r="F302" s="383">
        <v>1</v>
      </c>
      <c r="G302" s="384">
        <v>4.44822</v>
      </c>
      <c r="H302" s="9"/>
      <c r="I302" s="266"/>
      <c r="J302" s="325"/>
      <c r="K302" s="297"/>
      <c r="L302" s="297"/>
      <c r="M302" s="325"/>
      <c r="N302" s="297"/>
      <c r="O302" s="297"/>
      <c r="P302" s="297"/>
      <c r="Q302" s="297"/>
      <c r="R302" s="297"/>
      <c r="S302" s="297"/>
      <c r="T302" s="10"/>
      <c r="U302" s="298"/>
      <c r="V302" s="10"/>
      <c r="W302" s="10"/>
      <c r="X302" s="10"/>
      <c r="Y302" s="10"/>
      <c r="Z302" s="10"/>
      <c r="AA302" s="10"/>
    </row>
    <row r="303" spans="1:27">
      <c r="A303" s="5"/>
      <c r="B303" s="5"/>
      <c r="C303" s="9"/>
      <c r="D303" s="382"/>
      <c r="E303" s="8" t="str">
        <f t="shared" si="6"/>
        <v> mm</v>
      </c>
      <c r="F303" s="383" t="s">
        <v>148</v>
      </c>
      <c r="G303" s="384" t="s">
        <v>149</v>
      </c>
      <c r="H303" s="9"/>
      <c r="I303" s="282"/>
      <c r="J303" s="352"/>
      <c r="K303" s="320"/>
      <c r="L303" s="320"/>
      <c r="M303" s="352"/>
      <c r="N303" s="320"/>
      <c r="O303" s="320"/>
      <c r="P303" s="320"/>
      <c r="Q303" s="320"/>
      <c r="R303" s="320"/>
      <c r="S303" s="320"/>
      <c r="T303" s="314"/>
      <c r="U303" s="321"/>
      <c r="V303" s="10"/>
      <c r="W303" s="10"/>
      <c r="X303" s="10"/>
      <c r="Y303" s="10"/>
      <c r="Z303" s="10"/>
      <c r="AA303" s="10"/>
    </row>
    <row r="304" spans="1:27">
      <c r="A304" s="5"/>
      <c r="B304" s="5"/>
      <c r="C304" s="249"/>
      <c r="D304" s="382"/>
      <c r="E304" s="8" t="str">
        <f t="shared" si="6"/>
        <v> N</v>
      </c>
      <c r="F304" s="383" t="s">
        <v>150</v>
      </c>
      <c r="G304" s="384" t="s">
        <v>151</v>
      </c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10"/>
      <c r="U304" s="9"/>
      <c r="V304" s="10"/>
      <c r="W304" s="10"/>
      <c r="X304" s="10"/>
      <c r="Y304" s="10"/>
      <c r="Z304" s="10"/>
      <c r="AA304" s="10"/>
    </row>
    <row r="305" spans="1:27">
      <c r="A305" s="5"/>
      <c r="B305" s="5"/>
      <c r="C305" s="249"/>
      <c r="D305" s="382"/>
      <c r="E305" s="8" t="str">
        <f t="shared" si="6"/>
        <v>MPa</v>
      </c>
      <c r="F305" s="383" t="s">
        <v>50</v>
      </c>
      <c r="G305" s="384" t="s">
        <v>152</v>
      </c>
      <c r="H305" s="9"/>
      <c r="I305" s="287"/>
      <c r="J305" s="317"/>
      <c r="K305" s="317"/>
      <c r="L305" s="317"/>
      <c r="M305" s="317"/>
      <c r="N305" s="317"/>
      <c r="O305" s="317"/>
      <c r="P305" s="317"/>
      <c r="Q305" s="317"/>
      <c r="R305" s="317"/>
      <c r="S305" s="317"/>
      <c r="T305" s="318"/>
      <c r="U305" s="357"/>
      <c r="V305" s="10"/>
      <c r="W305" s="10"/>
      <c r="X305" s="10"/>
      <c r="Y305" s="10"/>
      <c r="Z305" s="10"/>
      <c r="AA305" s="10"/>
    </row>
    <row r="306" spans="1:27">
      <c r="A306" s="5"/>
      <c r="B306" s="5"/>
      <c r="C306" s="249"/>
      <c r="D306" s="382" t="s">
        <v>153</v>
      </c>
      <c r="E306" s="8">
        <f t="shared" si="6"/>
        <v>1</v>
      </c>
      <c r="F306" s="383">
        <v>1</v>
      </c>
      <c r="G306" s="384">
        <f>145.03/1000</f>
        <v>0.14503</v>
      </c>
      <c r="H306" s="9"/>
      <c r="I306" s="322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4"/>
      <c r="U306" s="306"/>
      <c r="V306" s="10"/>
      <c r="W306" s="10"/>
      <c r="X306" s="10"/>
      <c r="Y306" s="10"/>
      <c r="Z306" s="10"/>
      <c r="AA306" s="10"/>
    </row>
    <row r="307" spans="1:27">
      <c r="A307" s="5"/>
      <c r="B307" s="5"/>
      <c r="C307" s="249"/>
      <c r="D307" s="382"/>
      <c r="E307" s="8" t="str">
        <f t="shared" si="6"/>
        <v>N/mm</v>
      </c>
      <c r="F307" s="383" t="s">
        <v>154</v>
      </c>
      <c r="G307" s="384" t="s">
        <v>155</v>
      </c>
      <c r="H307" s="9"/>
      <c r="I307" s="360"/>
      <c r="J307" s="361"/>
      <c r="K307" s="300"/>
      <c r="L307" s="297"/>
      <c r="M307" s="361"/>
      <c r="N307" s="300"/>
      <c r="O307" s="300"/>
      <c r="P307" s="300"/>
      <c r="Q307" s="300"/>
      <c r="R307" s="300"/>
      <c r="S307" s="300"/>
      <c r="T307" s="327"/>
      <c r="U307" s="298"/>
      <c r="V307" s="10"/>
      <c r="W307" s="10"/>
      <c r="X307" s="10"/>
      <c r="Y307" s="10"/>
      <c r="Z307" s="10"/>
      <c r="AA307" s="10"/>
    </row>
    <row r="308" spans="1:27">
      <c r="A308" s="5"/>
      <c r="B308" s="5"/>
      <c r="C308" s="249"/>
      <c r="D308" s="382" t="s">
        <v>156</v>
      </c>
      <c r="E308" s="8">
        <f t="shared" si="6"/>
        <v>1</v>
      </c>
      <c r="F308" s="383">
        <v>1</v>
      </c>
      <c r="G308" s="384">
        <f>$G$301/$G$302</f>
        <v>5.71014922823062</v>
      </c>
      <c r="H308" s="9"/>
      <c r="I308" s="360"/>
      <c r="J308" s="361"/>
      <c r="K308" s="300"/>
      <c r="L308" s="297"/>
      <c r="M308" s="361"/>
      <c r="N308" s="300"/>
      <c r="O308" s="300"/>
      <c r="P308" s="300"/>
      <c r="Q308" s="300"/>
      <c r="R308" s="300"/>
      <c r="S308" s="300"/>
      <c r="T308" s="327"/>
      <c r="U308" s="298"/>
      <c r="V308" s="10"/>
      <c r="W308" s="10"/>
      <c r="X308" s="10"/>
      <c r="Y308" s="10"/>
      <c r="Z308" s="10"/>
      <c r="AA308" s="10"/>
    </row>
    <row r="309" spans="1:27">
      <c r="A309" s="5"/>
      <c r="B309" s="5"/>
      <c r="C309" s="249"/>
      <c r="D309" s="382"/>
      <c r="E309" s="8" t="str">
        <f t="shared" si="6"/>
        <v>MPa</v>
      </c>
      <c r="F309" s="383" t="s">
        <v>50</v>
      </c>
      <c r="G309" s="384" t="s">
        <v>157</v>
      </c>
      <c r="H309" s="9"/>
      <c r="I309" s="362"/>
      <c r="J309" s="361"/>
      <c r="K309" s="300"/>
      <c r="L309" s="297"/>
      <c r="M309" s="361"/>
      <c r="N309" s="300"/>
      <c r="O309" s="300"/>
      <c r="P309" s="300"/>
      <c r="Q309" s="300"/>
      <c r="R309" s="300"/>
      <c r="S309" s="300"/>
      <c r="T309" s="327"/>
      <c r="U309" s="298"/>
      <c r="V309" s="10"/>
      <c r="W309" s="10"/>
      <c r="X309" s="10"/>
      <c r="Y309" s="10"/>
      <c r="Z309" s="10"/>
      <c r="AA309" s="10"/>
    </row>
    <row r="310" spans="1:27">
      <c r="A310" s="5"/>
      <c r="B310" s="5"/>
      <c r="C310" s="249"/>
      <c r="D310" s="382" t="s">
        <v>158</v>
      </c>
      <c r="E310" s="8">
        <f t="shared" si="6"/>
        <v>1</v>
      </c>
      <c r="F310" s="383">
        <v>1</v>
      </c>
      <c r="G310" s="384">
        <f>145.03/1000000</f>
        <v>0.00014503</v>
      </c>
      <c r="H310" s="9"/>
      <c r="I310" s="362"/>
      <c r="J310" s="361"/>
      <c r="K310" s="300"/>
      <c r="L310" s="297"/>
      <c r="M310" s="361"/>
      <c r="N310" s="300"/>
      <c r="O310" s="300"/>
      <c r="P310" s="300"/>
      <c r="Q310" s="300"/>
      <c r="R310" s="300"/>
      <c r="S310" s="300"/>
      <c r="T310" s="327"/>
      <c r="U310" s="298"/>
      <c r="V310" s="10"/>
      <c r="W310" s="10"/>
      <c r="X310" s="10"/>
      <c r="Y310" s="10"/>
      <c r="Z310" s="10"/>
      <c r="AA310" s="10"/>
    </row>
    <row r="311" spans="1:27">
      <c r="A311" s="5"/>
      <c r="B311" s="5"/>
      <c r="C311" s="249"/>
      <c r="D311" s="382"/>
      <c r="E311" s="8">
        <f t="shared" si="6"/>
        <v>25</v>
      </c>
      <c r="F311" s="383">
        <f>$D$24</f>
        <v>25</v>
      </c>
      <c r="G311" s="384">
        <f>($D$24-32)*5/9</f>
        <v>-3.88888888888889</v>
      </c>
      <c r="H311" s="9"/>
      <c r="I311" s="360"/>
      <c r="J311" s="365"/>
      <c r="K311" s="300"/>
      <c r="L311" s="297"/>
      <c r="M311" s="365"/>
      <c r="N311" s="366"/>
      <c r="O311" s="366"/>
      <c r="P311" s="366"/>
      <c r="Q311" s="366"/>
      <c r="R311" s="366"/>
      <c r="S311" s="366"/>
      <c r="T311" s="327"/>
      <c r="U311" s="298"/>
      <c r="V311" s="10"/>
      <c r="W311" s="10"/>
      <c r="X311" s="10"/>
      <c r="Y311" s="10"/>
      <c r="Z311" s="10"/>
      <c r="AA311" s="10"/>
    </row>
    <row r="312" spans="1:27">
      <c r="A312" s="5"/>
      <c r="B312" s="5"/>
      <c r="C312" s="249"/>
      <c r="D312" s="382"/>
      <c r="E312" s="8" t="str">
        <f t="shared" si="6"/>
        <v>°C</v>
      </c>
      <c r="F312" s="383" t="s">
        <v>159</v>
      </c>
      <c r="G312" s="384" t="s">
        <v>160</v>
      </c>
      <c r="H312" s="9"/>
      <c r="I312" s="360"/>
      <c r="J312" s="365"/>
      <c r="K312" s="300"/>
      <c r="L312" s="297"/>
      <c r="M312" s="365"/>
      <c r="N312" s="366"/>
      <c r="O312" s="366"/>
      <c r="P312" s="366"/>
      <c r="Q312" s="366"/>
      <c r="R312" s="366"/>
      <c r="S312" s="366"/>
      <c r="T312" s="327"/>
      <c r="U312" s="298"/>
      <c r="V312" s="10"/>
      <c r="W312" s="10"/>
      <c r="X312" s="10"/>
      <c r="Y312" s="10"/>
      <c r="Z312" s="10"/>
      <c r="AA312" s="10"/>
    </row>
    <row r="313" spans="1:27">
      <c r="A313" s="5"/>
      <c r="B313" s="5"/>
      <c r="C313" s="249"/>
      <c r="D313" s="382"/>
      <c r="E313" s="8"/>
      <c r="F313" s="383"/>
      <c r="G313" s="384"/>
      <c r="H313" s="9"/>
      <c r="I313" s="303"/>
      <c r="J313" s="347"/>
      <c r="K313" s="305"/>
      <c r="L313" s="305"/>
      <c r="M313" s="347"/>
      <c r="N313" s="305"/>
      <c r="O313" s="305"/>
      <c r="P313" s="305"/>
      <c r="Q313" s="305"/>
      <c r="R313" s="305"/>
      <c r="S313" s="305"/>
      <c r="T313" s="304"/>
      <c r="U313" s="306"/>
      <c r="V313" s="10"/>
      <c r="W313" s="10"/>
      <c r="X313" s="10"/>
      <c r="Y313" s="10"/>
      <c r="Z313" s="10"/>
      <c r="AA313" s="10"/>
    </row>
    <row r="314" spans="1:27">
      <c r="A314" s="5"/>
      <c r="B314" s="5"/>
      <c r="C314" s="249"/>
      <c r="D314" s="382"/>
      <c r="E314" s="8"/>
      <c r="F314" s="383"/>
      <c r="G314" s="384"/>
      <c r="H314" s="9"/>
      <c r="I314" s="266"/>
      <c r="J314" s="325"/>
      <c r="K314" s="297"/>
      <c r="L314" s="297"/>
      <c r="M314" s="325"/>
      <c r="N314" s="297"/>
      <c r="O314" s="297"/>
      <c r="P314" s="297"/>
      <c r="Q314" s="297"/>
      <c r="R314" s="297"/>
      <c r="S314" s="297"/>
      <c r="T314" s="10"/>
      <c r="U314" s="298"/>
      <c r="V314" s="10"/>
      <c r="W314" s="10"/>
      <c r="X314" s="10"/>
      <c r="Y314" s="10"/>
      <c r="Z314" s="10"/>
      <c r="AA314" s="10"/>
    </row>
    <row r="315" spans="1:27">
      <c r="A315" s="5"/>
      <c r="B315" s="5"/>
      <c r="C315" s="249"/>
      <c r="D315" s="382"/>
      <c r="E315" s="8"/>
      <c r="F315" s="383"/>
      <c r="G315" s="384"/>
      <c r="H315" s="9"/>
      <c r="I315" s="266"/>
      <c r="J315" s="325"/>
      <c r="K315" s="297"/>
      <c r="L315" s="297"/>
      <c r="M315" s="325"/>
      <c r="N315" s="297"/>
      <c r="O315" s="297"/>
      <c r="P315" s="297"/>
      <c r="Q315" s="297"/>
      <c r="R315" s="297"/>
      <c r="S315" s="297"/>
      <c r="T315" s="10"/>
      <c r="U315" s="298"/>
      <c r="V315" s="10"/>
      <c r="W315" s="10"/>
      <c r="X315" s="10"/>
      <c r="Y315" s="10"/>
      <c r="Z315" s="10"/>
      <c r="AA315" s="10"/>
    </row>
    <row r="316" spans="1:27">
      <c r="A316" s="5"/>
      <c r="B316" s="5"/>
      <c r="C316" s="249"/>
      <c r="D316" s="382"/>
      <c r="E316" s="8"/>
      <c r="F316" s="383"/>
      <c r="G316" s="384"/>
      <c r="H316" s="9"/>
      <c r="I316" s="282"/>
      <c r="J316" s="352"/>
      <c r="K316" s="320"/>
      <c r="L316" s="320"/>
      <c r="M316" s="352"/>
      <c r="N316" s="320"/>
      <c r="O316" s="320"/>
      <c r="P316" s="320"/>
      <c r="Q316" s="320"/>
      <c r="R316" s="320"/>
      <c r="S316" s="320"/>
      <c r="T316" s="314"/>
      <c r="U316" s="321"/>
      <c r="V316" s="10"/>
      <c r="W316" s="10"/>
      <c r="X316" s="10"/>
      <c r="Y316" s="10"/>
      <c r="Z316" s="10"/>
      <c r="AA316" s="10"/>
    </row>
    <row r="317" spans="1:27">
      <c r="A317" s="5"/>
      <c r="B317" s="5"/>
      <c r="C317" s="249"/>
      <c r="D317" s="385"/>
      <c r="E317" s="386"/>
      <c r="F317" s="387"/>
      <c r="G317" s="388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10"/>
      <c r="U317" s="9"/>
      <c r="V317" s="10"/>
      <c r="W317" s="10"/>
      <c r="X317" s="10"/>
      <c r="Y317" s="10"/>
      <c r="Z317" s="10"/>
      <c r="AA317" s="10"/>
    </row>
    <row r="318" spans="1:27">
      <c r="A318" s="5"/>
      <c r="B318" s="5"/>
      <c r="C318" s="249"/>
      <c r="D318" s="349"/>
      <c r="E318" s="44"/>
      <c r="F318" s="349"/>
      <c r="G318" s="349"/>
      <c r="H318" s="249"/>
      <c r="I318" s="287"/>
      <c r="J318" s="317"/>
      <c r="K318" s="317"/>
      <c r="L318" s="317"/>
      <c r="M318" s="317"/>
      <c r="N318" s="317"/>
      <c r="O318" s="317"/>
      <c r="P318" s="317"/>
      <c r="Q318" s="317"/>
      <c r="R318" s="317"/>
      <c r="S318" s="317"/>
      <c r="T318" s="318"/>
      <c r="U318" s="357"/>
      <c r="V318" s="8"/>
      <c r="W318" s="8"/>
      <c r="X318" s="8"/>
      <c r="Y318" s="8"/>
      <c r="Z318" s="8"/>
      <c r="AA318" s="10"/>
    </row>
    <row r="319" spans="1:27">
      <c r="A319" s="5"/>
      <c r="B319" s="5"/>
      <c r="C319" s="249"/>
      <c r="D319" s="349"/>
      <c r="E319" s="44"/>
      <c r="F319" s="349"/>
      <c r="G319" s="349"/>
      <c r="H319" s="249"/>
      <c r="I319" s="322"/>
      <c r="J319" s="305"/>
      <c r="K319" s="305"/>
      <c r="L319" s="305"/>
      <c r="M319" s="305"/>
      <c r="N319" s="305"/>
      <c r="O319" s="305"/>
      <c r="P319" s="305"/>
      <c r="Q319" s="305"/>
      <c r="R319" s="305"/>
      <c r="S319" s="305"/>
      <c r="T319" s="304"/>
      <c r="U319" s="306"/>
      <c r="V319" s="8"/>
      <c r="W319" s="8"/>
      <c r="X319" s="8"/>
      <c r="Y319" s="8"/>
      <c r="Z319" s="8"/>
      <c r="AA319" s="10"/>
    </row>
    <row r="320" spans="1:27">
      <c r="A320" s="5"/>
      <c r="B320" s="5"/>
      <c r="C320" s="249"/>
      <c r="D320" s="249"/>
      <c r="E320" s="8"/>
      <c r="F320" s="249"/>
      <c r="G320" s="249"/>
      <c r="H320" s="249"/>
      <c r="I320" s="360"/>
      <c r="J320" s="361"/>
      <c r="K320" s="300"/>
      <c r="L320" s="297"/>
      <c r="M320" s="361"/>
      <c r="N320" s="300"/>
      <c r="O320" s="300"/>
      <c r="P320" s="300"/>
      <c r="Q320" s="300"/>
      <c r="R320" s="300"/>
      <c r="S320" s="300"/>
      <c r="T320" s="327"/>
      <c r="U320" s="298"/>
      <c r="V320" s="8"/>
      <c r="W320" s="8"/>
      <c r="X320" s="8"/>
      <c r="Y320" s="8"/>
      <c r="Z320" s="8"/>
      <c r="AA320" s="10"/>
    </row>
    <row r="321" spans="1:27">
      <c r="A321" s="5"/>
      <c r="B321" s="5"/>
      <c r="C321" s="249"/>
      <c r="D321" s="249"/>
      <c r="E321" s="8"/>
      <c r="F321" s="249"/>
      <c r="G321" s="249"/>
      <c r="H321" s="249"/>
      <c r="I321" s="360"/>
      <c r="J321" s="361"/>
      <c r="K321" s="300"/>
      <c r="L321" s="297"/>
      <c r="M321" s="361"/>
      <c r="N321" s="300"/>
      <c r="O321" s="300"/>
      <c r="P321" s="300"/>
      <c r="Q321" s="300"/>
      <c r="R321" s="300"/>
      <c r="S321" s="300"/>
      <c r="T321" s="327"/>
      <c r="U321" s="298"/>
      <c r="V321" s="8"/>
      <c r="W321" s="8"/>
      <c r="X321" s="8"/>
      <c r="Y321" s="8"/>
      <c r="Z321" s="8"/>
      <c r="AA321" s="10"/>
    </row>
    <row r="322" spans="1:27">
      <c r="A322" s="5"/>
      <c r="B322" s="5"/>
      <c r="C322" s="249"/>
      <c r="D322" s="249"/>
      <c r="E322" s="8"/>
      <c r="F322" s="249"/>
      <c r="G322" s="249"/>
      <c r="H322" s="249"/>
      <c r="I322" s="362"/>
      <c r="J322" s="361"/>
      <c r="K322" s="300"/>
      <c r="L322" s="297"/>
      <c r="M322" s="361"/>
      <c r="N322" s="300"/>
      <c r="O322" s="300"/>
      <c r="P322" s="300"/>
      <c r="Q322" s="300"/>
      <c r="R322" s="300"/>
      <c r="S322" s="300"/>
      <c r="T322" s="327"/>
      <c r="U322" s="298"/>
      <c r="V322" s="8"/>
      <c r="W322" s="8"/>
      <c r="X322" s="8"/>
      <c r="Y322" s="8"/>
      <c r="Z322" s="8"/>
      <c r="AA322" s="10"/>
    </row>
    <row r="323" spans="1:27">
      <c r="A323" s="5"/>
      <c r="B323" s="5"/>
      <c r="C323" s="249"/>
      <c r="D323" s="249"/>
      <c r="E323" s="8"/>
      <c r="F323" s="249"/>
      <c r="G323" s="249"/>
      <c r="H323" s="249"/>
      <c r="I323" s="362"/>
      <c r="J323" s="361"/>
      <c r="K323" s="300"/>
      <c r="L323" s="297"/>
      <c r="M323" s="361"/>
      <c r="N323" s="300"/>
      <c r="O323" s="300"/>
      <c r="P323" s="300"/>
      <c r="Q323" s="300"/>
      <c r="R323" s="300"/>
      <c r="S323" s="300"/>
      <c r="T323" s="327"/>
      <c r="U323" s="298"/>
      <c r="V323" s="8"/>
      <c r="W323" s="8"/>
      <c r="X323" s="8"/>
      <c r="Y323" s="8"/>
      <c r="Z323" s="8"/>
      <c r="AA323" s="10"/>
    </row>
    <row r="324" spans="1:27">
      <c r="A324" s="5"/>
      <c r="B324" s="5"/>
      <c r="C324" s="249"/>
      <c r="D324" s="249"/>
      <c r="E324" s="8"/>
      <c r="F324" s="249"/>
      <c r="G324" s="249"/>
      <c r="H324" s="249"/>
      <c r="I324" s="360"/>
      <c r="J324" s="365"/>
      <c r="K324" s="300"/>
      <c r="L324" s="297"/>
      <c r="M324" s="365"/>
      <c r="N324" s="366"/>
      <c r="O324" s="366"/>
      <c r="P324" s="366"/>
      <c r="Q324" s="366"/>
      <c r="R324" s="366"/>
      <c r="S324" s="366"/>
      <c r="T324" s="327"/>
      <c r="U324" s="298"/>
      <c r="V324" s="8"/>
      <c r="W324" s="8"/>
      <c r="X324" s="8"/>
      <c r="Y324" s="8"/>
      <c r="Z324" s="8"/>
      <c r="AA324" s="10"/>
    </row>
    <row r="325" spans="1:27">
      <c r="A325" s="5"/>
      <c r="B325" s="5"/>
      <c r="C325" s="249"/>
      <c r="D325" s="249"/>
      <c r="E325" s="8"/>
      <c r="F325" s="249"/>
      <c r="G325" s="249"/>
      <c r="H325" s="249"/>
      <c r="I325" s="360"/>
      <c r="J325" s="365"/>
      <c r="K325" s="300"/>
      <c r="L325" s="297"/>
      <c r="M325" s="365"/>
      <c r="N325" s="366"/>
      <c r="O325" s="366"/>
      <c r="P325" s="366"/>
      <c r="Q325" s="366"/>
      <c r="R325" s="366"/>
      <c r="S325" s="366"/>
      <c r="T325" s="327"/>
      <c r="U325" s="298"/>
      <c r="V325" s="8"/>
      <c r="W325" s="8"/>
      <c r="X325" s="8"/>
      <c r="Y325" s="8"/>
      <c r="Z325" s="8"/>
      <c r="AA325" s="10"/>
    </row>
    <row r="326" spans="1:27">
      <c r="A326" s="5"/>
      <c r="B326" s="5"/>
      <c r="C326" s="9"/>
      <c r="D326" s="9"/>
      <c r="E326" s="10"/>
      <c r="F326" s="9"/>
      <c r="G326" s="9"/>
      <c r="H326" s="9"/>
      <c r="I326" s="303"/>
      <c r="J326" s="347"/>
      <c r="K326" s="305"/>
      <c r="L326" s="305"/>
      <c r="M326" s="347"/>
      <c r="N326" s="305"/>
      <c r="O326" s="305"/>
      <c r="P326" s="305"/>
      <c r="Q326" s="305"/>
      <c r="R326" s="305"/>
      <c r="S326" s="305"/>
      <c r="T326" s="304"/>
      <c r="U326" s="306"/>
      <c r="V326" s="10"/>
      <c r="W326" s="10"/>
      <c r="X326" s="10"/>
      <c r="Y326" s="10"/>
      <c r="Z326" s="10"/>
      <c r="AA326" s="10"/>
    </row>
    <row r="327" spans="1:27">
      <c r="A327" s="5"/>
      <c r="B327" s="5"/>
      <c r="C327" s="9"/>
      <c r="D327" s="9"/>
      <c r="E327" s="10"/>
      <c r="F327" s="9"/>
      <c r="G327" s="9"/>
      <c r="H327" s="9"/>
      <c r="I327" s="266"/>
      <c r="J327" s="325"/>
      <c r="K327" s="297"/>
      <c r="L327" s="297"/>
      <c r="M327" s="325"/>
      <c r="N327" s="297"/>
      <c r="O327" s="297"/>
      <c r="P327" s="297"/>
      <c r="Q327" s="297"/>
      <c r="R327" s="297"/>
      <c r="S327" s="297"/>
      <c r="T327" s="10"/>
      <c r="U327" s="298"/>
      <c r="V327" s="10"/>
      <c r="W327" s="10"/>
      <c r="X327" s="10"/>
      <c r="Y327" s="10"/>
      <c r="Z327" s="10"/>
      <c r="AA327" s="10"/>
    </row>
    <row r="328" spans="1:27">
      <c r="A328" s="5"/>
      <c r="B328" s="5"/>
      <c r="C328" s="9"/>
      <c r="D328" s="9"/>
      <c r="E328" s="10"/>
      <c r="F328" s="9"/>
      <c r="G328" s="9"/>
      <c r="H328" s="9"/>
      <c r="I328" s="266"/>
      <c r="J328" s="325"/>
      <c r="K328" s="297"/>
      <c r="L328" s="297"/>
      <c r="M328" s="325"/>
      <c r="N328" s="297"/>
      <c r="O328" s="297"/>
      <c r="P328" s="297"/>
      <c r="Q328" s="297"/>
      <c r="R328" s="297"/>
      <c r="S328" s="297"/>
      <c r="T328" s="10"/>
      <c r="U328" s="298"/>
      <c r="V328" s="10"/>
      <c r="W328" s="10"/>
      <c r="X328" s="10"/>
      <c r="Y328" s="10"/>
      <c r="Z328" s="10"/>
      <c r="AA328" s="10"/>
    </row>
    <row r="329" spans="1:27">
      <c r="A329" s="5"/>
      <c r="B329" s="5"/>
      <c r="C329" s="9"/>
      <c r="D329" s="9"/>
      <c r="E329" s="10"/>
      <c r="F329" s="9"/>
      <c r="G329" s="9"/>
      <c r="H329" s="9"/>
      <c r="I329" s="282"/>
      <c r="J329" s="352"/>
      <c r="K329" s="320"/>
      <c r="L329" s="320"/>
      <c r="M329" s="352"/>
      <c r="N329" s="320"/>
      <c r="O329" s="320"/>
      <c r="P329" s="320"/>
      <c r="Q329" s="320"/>
      <c r="R329" s="320"/>
      <c r="S329" s="320"/>
      <c r="T329" s="314"/>
      <c r="U329" s="321"/>
      <c r="V329" s="10"/>
      <c r="W329" s="10"/>
      <c r="X329" s="10"/>
      <c r="Y329" s="10"/>
      <c r="Z329" s="10"/>
      <c r="AA329" s="10"/>
    </row>
    <row r="330" spans="1:27">
      <c r="A330" s="5"/>
      <c r="B330" s="5"/>
      <c r="C330" s="9"/>
      <c r="D330" s="9"/>
      <c r="E330" s="10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10"/>
      <c r="U330" s="9"/>
      <c r="V330" s="10"/>
      <c r="W330" s="10"/>
      <c r="X330" s="10"/>
      <c r="Y330" s="10"/>
      <c r="Z330" s="10"/>
      <c r="AA330" s="10"/>
    </row>
    <row r="331" ht="18.75" spans="1:27">
      <c r="A331" s="5"/>
      <c r="B331" s="5"/>
      <c r="C331" s="251"/>
      <c r="D331" s="254"/>
      <c r="E331" s="318"/>
      <c r="F331" s="254"/>
      <c r="G331" s="254"/>
      <c r="H331" s="254"/>
      <c r="I331" s="254"/>
      <c r="J331" s="390"/>
      <c r="K331" s="254"/>
      <c r="L331" s="254"/>
      <c r="M331" s="254"/>
      <c r="N331" s="254"/>
      <c r="O331" s="254"/>
      <c r="P331" s="254"/>
      <c r="Q331" s="254"/>
      <c r="R331" s="254"/>
      <c r="S331" s="254"/>
      <c r="T331" s="318"/>
      <c r="U331" s="254"/>
      <c r="V331" s="318"/>
      <c r="W331" s="318"/>
      <c r="X331" s="318"/>
      <c r="Y331" s="318"/>
      <c r="Z331" s="10"/>
      <c r="AA331" s="10"/>
    </row>
    <row r="332" spans="1:27">
      <c r="A332" s="5"/>
      <c r="B332" s="5"/>
      <c r="C332" s="391"/>
      <c r="D332" s="394"/>
      <c r="E332" s="395"/>
      <c r="F332" s="394"/>
      <c r="G332" s="394"/>
      <c r="H332" s="394"/>
      <c r="I332" s="394"/>
      <c r="J332" s="393"/>
      <c r="K332" s="396"/>
      <c r="L332" s="397"/>
      <c r="M332" s="397"/>
      <c r="N332" s="397"/>
      <c r="O332" s="397"/>
      <c r="P332" s="397"/>
      <c r="Q332" s="397"/>
      <c r="R332" s="397"/>
      <c r="S332" s="397"/>
      <c r="T332" s="398"/>
      <c r="U332" s="393"/>
      <c r="V332" s="398"/>
      <c r="W332" s="398"/>
      <c r="X332" s="398"/>
      <c r="Y332" s="398"/>
      <c r="Z332" s="10"/>
      <c r="AA332" s="10"/>
    </row>
    <row r="333" spans="1:27">
      <c r="A333" s="5"/>
      <c r="B333" s="5"/>
      <c r="C333" s="399"/>
      <c r="D333" s="325"/>
      <c r="E333" s="328"/>
      <c r="F333" s="325"/>
      <c r="G333" s="325"/>
      <c r="H333" s="325"/>
      <c r="I333" s="325"/>
      <c r="J333" s="297"/>
      <c r="K333" s="325"/>
      <c r="L333" s="297"/>
      <c r="M333" s="297"/>
      <c r="N333" s="297"/>
      <c r="O333" s="297"/>
      <c r="P333" s="297"/>
      <c r="Q333" s="297"/>
      <c r="R333" s="297"/>
      <c r="S333" s="297"/>
      <c r="T333" s="10"/>
      <c r="U333" s="297"/>
      <c r="V333" s="10"/>
      <c r="W333" s="10"/>
      <c r="X333" s="10"/>
      <c r="Y333" s="10"/>
      <c r="Z333" s="10"/>
      <c r="AA333" s="10"/>
    </row>
    <row r="334" spans="1:27">
      <c r="A334" s="5"/>
      <c r="B334" s="5"/>
      <c r="C334" s="266"/>
      <c r="D334" s="325"/>
      <c r="E334" s="328"/>
      <c r="F334" s="402"/>
      <c r="G334" s="403"/>
      <c r="H334" s="325"/>
      <c r="I334" s="325"/>
      <c r="J334" s="297"/>
      <c r="K334" s="325"/>
      <c r="L334" s="297"/>
      <c r="M334" s="297"/>
      <c r="N334" s="297"/>
      <c r="O334" s="297"/>
      <c r="P334" s="297"/>
      <c r="Q334" s="297"/>
      <c r="R334" s="297"/>
      <c r="S334" s="297"/>
      <c r="T334" s="10"/>
      <c r="U334" s="297"/>
      <c r="V334" s="10"/>
      <c r="W334" s="10"/>
      <c r="X334" s="10"/>
      <c r="Y334" s="10"/>
      <c r="Z334" s="10"/>
      <c r="AA334" s="10"/>
    </row>
    <row r="335" spans="1:27">
      <c r="A335" s="5"/>
      <c r="B335" s="5"/>
      <c r="C335" s="404"/>
      <c r="D335" s="407"/>
      <c r="E335" s="408"/>
      <c r="F335" s="352"/>
      <c r="G335" s="352"/>
      <c r="H335" s="352"/>
      <c r="I335" s="409"/>
      <c r="J335" s="281"/>
      <c r="K335" s="352"/>
      <c r="L335" s="352"/>
      <c r="M335" s="352"/>
      <c r="N335" s="320"/>
      <c r="O335" s="320"/>
      <c r="P335" s="320"/>
      <c r="Q335" s="320"/>
      <c r="R335" s="320"/>
      <c r="S335" s="320"/>
      <c r="T335" s="314"/>
      <c r="U335" s="281"/>
      <c r="V335" s="314"/>
      <c r="W335" s="314"/>
      <c r="X335" s="314"/>
      <c r="Y335" s="410"/>
      <c r="Z335" s="10"/>
      <c r="AA335" s="10"/>
    </row>
    <row r="336" spans="1:27">
      <c r="A336" s="5"/>
      <c r="B336" s="5"/>
      <c r="C336" s="249"/>
      <c r="D336" s="9"/>
      <c r="E336" s="10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10"/>
      <c r="U336" s="9"/>
      <c r="V336" s="10"/>
      <c r="W336" s="10"/>
      <c r="X336" s="10"/>
      <c r="Y336" s="10"/>
      <c r="Z336" s="10"/>
      <c r="AA336" s="10"/>
    </row>
    <row r="337" spans="1:27">
      <c r="A337" s="5"/>
      <c r="B337" s="5"/>
      <c r="C337" s="9"/>
      <c r="D337" s="9"/>
      <c r="E337" s="10"/>
      <c r="F337" s="9"/>
      <c r="G337" s="9"/>
      <c r="H337" s="9"/>
      <c r="I337" s="9"/>
      <c r="J337" s="249"/>
      <c r="K337" s="249"/>
      <c r="L337" s="249"/>
      <c r="M337" s="249"/>
      <c r="N337" s="249"/>
      <c r="O337" s="249"/>
      <c r="P337" s="249"/>
      <c r="Q337" s="249"/>
      <c r="R337" s="249"/>
      <c r="S337" s="249"/>
      <c r="T337" s="8"/>
      <c r="U337" s="249"/>
      <c r="V337" s="8"/>
      <c r="W337" s="8"/>
      <c r="X337" s="8"/>
      <c r="Y337" s="8"/>
      <c r="Z337" s="8"/>
      <c r="AA337" s="8"/>
    </row>
    <row r="338" spans="1:27">
      <c r="A338" s="5"/>
      <c r="B338" s="5"/>
      <c r="C338" s="9"/>
      <c r="D338" s="9"/>
      <c r="E338" s="10"/>
      <c r="F338" s="9"/>
      <c r="G338" s="9"/>
      <c r="H338" s="9"/>
      <c r="I338" s="9"/>
      <c r="J338" s="249"/>
      <c r="K338" s="249"/>
      <c r="L338" s="249"/>
      <c r="M338" s="249"/>
      <c r="N338" s="249"/>
      <c r="O338" s="249"/>
      <c r="P338" s="249"/>
      <c r="Q338" s="249"/>
      <c r="R338" s="249"/>
      <c r="S338" s="249"/>
      <c r="T338" s="8"/>
      <c r="U338" s="249"/>
      <c r="V338" s="8"/>
      <c r="W338" s="8"/>
      <c r="X338" s="8"/>
      <c r="Y338" s="8"/>
      <c r="Z338" s="8"/>
      <c r="AA338" s="10"/>
    </row>
    <row r="339" spans="1:27">
      <c r="A339" s="5"/>
      <c r="B339" s="5"/>
      <c r="C339" s="9"/>
      <c r="D339" s="9"/>
      <c r="E339" s="10"/>
      <c r="F339" s="9"/>
      <c r="G339" s="9"/>
      <c r="H339" s="9"/>
      <c r="I339" s="9"/>
      <c r="J339" s="249"/>
      <c r="K339" s="249"/>
      <c r="L339" s="249"/>
      <c r="M339" s="249"/>
      <c r="N339" s="249"/>
      <c r="O339" s="249"/>
      <c r="P339" s="249"/>
      <c r="Q339" s="249"/>
      <c r="R339" s="249"/>
      <c r="S339" s="249"/>
      <c r="T339" s="8"/>
      <c r="U339" s="249"/>
      <c r="V339" s="8"/>
      <c r="W339" s="8"/>
      <c r="X339" s="8"/>
      <c r="Y339" s="8"/>
      <c r="Z339" s="8"/>
      <c r="AA339" s="10"/>
    </row>
    <row r="340" spans="1:27">
      <c r="A340" s="5"/>
      <c r="B340" s="5"/>
      <c r="C340" s="9"/>
      <c r="D340" s="9"/>
      <c r="E340" s="10"/>
      <c r="F340" s="9"/>
      <c r="G340" s="9"/>
      <c r="H340" s="9"/>
      <c r="I340" s="9"/>
      <c r="J340" s="249"/>
      <c r="K340" s="249"/>
      <c r="L340" s="249"/>
      <c r="M340" s="249"/>
      <c r="N340" s="249"/>
      <c r="O340" s="249"/>
      <c r="P340" s="249"/>
      <c r="Q340" s="249"/>
      <c r="R340" s="249"/>
      <c r="S340" s="249"/>
      <c r="T340" s="8"/>
      <c r="U340" s="249"/>
      <c r="V340" s="8"/>
      <c r="W340" s="8"/>
      <c r="X340" s="8"/>
      <c r="Y340" s="8"/>
      <c r="Z340" s="8"/>
      <c r="AA340" s="10"/>
    </row>
    <row r="341" spans="1:27">
      <c r="A341" s="5"/>
      <c r="B341" s="5"/>
      <c r="C341" s="9"/>
      <c r="D341" s="9"/>
      <c r="E341" s="10"/>
      <c r="F341" s="9"/>
      <c r="G341" s="9"/>
      <c r="H341" s="9"/>
      <c r="I341" s="9"/>
      <c r="J341" s="249"/>
      <c r="K341" s="249"/>
      <c r="L341" s="249"/>
      <c r="M341" s="249"/>
      <c r="N341" s="249"/>
      <c r="O341" s="249"/>
      <c r="P341" s="249"/>
      <c r="Q341" s="249"/>
      <c r="R341" s="249"/>
      <c r="S341" s="249"/>
      <c r="T341" s="8"/>
      <c r="U341" s="249"/>
      <c r="V341" s="8"/>
      <c r="W341" s="8"/>
      <c r="X341" s="8"/>
      <c r="Y341" s="8"/>
      <c r="Z341" s="8"/>
      <c r="AA341" s="10"/>
    </row>
    <row r="342" spans="1:27">
      <c r="A342" s="5"/>
      <c r="B342" s="5"/>
      <c r="C342" s="9"/>
      <c r="D342" s="9"/>
      <c r="E342" s="10"/>
      <c r="F342" s="9"/>
      <c r="G342" s="9"/>
      <c r="H342" s="9"/>
      <c r="I342" s="9"/>
      <c r="J342" s="249"/>
      <c r="K342" s="249"/>
      <c r="L342" s="249"/>
      <c r="M342" s="249"/>
      <c r="N342" s="249"/>
      <c r="O342" s="249"/>
      <c r="P342" s="249"/>
      <c r="Q342" s="249"/>
      <c r="R342" s="249"/>
      <c r="S342" s="249"/>
      <c r="T342" s="8"/>
      <c r="U342" s="249"/>
      <c r="V342" s="8"/>
      <c r="W342" s="8"/>
      <c r="X342" s="8"/>
      <c r="Y342" s="8"/>
      <c r="Z342" s="8"/>
      <c r="AA342" s="10"/>
    </row>
    <row r="343" spans="1:27">
      <c r="A343" s="5"/>
      <c r="B343" s="5"/>
      <c r="C343" s="9"/>
      <c r="D343" s="9"/>
      <c r="E343" s="10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10"/>
      <c r="U343" s="9"/>
      <c r="V343" s="10"/>
      <c r="W343" s="10"/>
      <c r="X343" s="10"/>
      <c r="Y343" s="10"/>
      <c r="Z343" s="10"/>
      <c r="AA343" s="10"/>
    </row>
    <row r="344" spans="1:27">
      <c r="A344" s="5"/>
      <c r="B344" s="5"/>
      <c r="C344" s="411" t="s">
        <v>161</v>
      </c>
      <c r="D344" s="9"/>
      <c r="E344" s="10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10"/>
      <c r="U344" s="9"/>
      <c r="V344" s="10"/>
      <c r="W344" s="10"/>
      <c r="X344" s="10"/>
      <c r="Y344" s="10"/>
      <c r="Z344" s="10"/>
      <c r="AA344" s="10"/>
    </row>
    <row r="345" spans="1:27">
      <c r="A345" s="5"/>
      <c r="B345" s="5"/>
      <c r="C345" s="414">
        <f>IF($E$252&lt;16,0.2,IF($E$252&lt;20,0.3,IF($E$252&lt;26,0.4,IF($E$252&lt;31.5,0.5,IF($E$252&lt;50,0.6,IF($E$252&lt;80,0.8,IF($E$252&lt;140,1,IF($E$252&lt;250,1.6,2))))))))</f>
        <v>0.3</v>
      </c>
      <c r="D345" s="9"/>
      <c r="E345" s="10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10"/>
      <c r="U345" s="9"/>
      <c r="V345" s="10"/>
      <c r="W345" s="10"/>
      <c r="X345" s="10"/>
      <c r="Y345" s="10"/>
      <c r="Z345" s="10"/>
      <c r="AA345" s="10"/>
    </row>
    <row r="346" spans="1:27">
      <c r="A346" s="5"/>
      <c r="B346" s="5"/>
      <c r="C346" s="417">
        <f>IF($E$251&lt;16,0.2,IF($E$251&lt;20,0.3,IF($E$251&lt;26,0.4,IF($E$251&lt;31.5,0.5,IF($E$251&lt;50,0.6,IF($E$251&lt;80,0.8,IF($E$251&lt;140,1,IF($E$251&lt;250,1.6,2))))))))</f>
        <v>0.5</v>
      </c>
      <c r="D346" s="9"/>
      <c r="E346" s="10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10"/>
      <c r="U346" s="9"/>
      <c r="V346" s="10"/>
      <c r="W346" s="10"/>
      <c r="X346" s="10"/>
      <c r="Y346" s="10"/>
      <c r="Z346" s="10"/>
      <c r="AA346" s="10"/>
    </row>
    <row r="347" spans="1:27">
      <c r="A347" s="5"/>
      <c r="B347" s="5"/>
      <c r="C347" s="420">
        <f>IF($E$255&lt;0.6,$E$255-0.06,IF($E$255&lt;1.25,$E$255-0.09,IF($E$255&lt;3.8,$E$255-0.12,IF($E$255&lt;6,$E$255-0.15,IF($E$255&lt;15,$E$255-0.1,IF($E$255&lt;25,$E$255-0.12,IF($E$255&lt;40,$E$255-0.15)))))))</f>
        <v>1.38</v>
      </c>
      <c r="D347" s="423">
        <f>IF($E$255&lt;0.6,$E$255+0.02,IF($E$255&lt;1.25,$E$255+0.03,IF($E$255&lt;3.8,$E$255+0.04,IF($E$255&lt;6,$E$255+0.05,IF($E$255&lt;15,$E$255+0.1,IF($E$255&lt;25,$E$255+0.12,IF($E$255&lt;40,$E$255+0.15)))))))</f>
        <v>1.54</v>
      </c>
      <c r="E347" s="10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10"/>
      <c r="U347" s="9"/>
      <c r="V347" s="10"/>
      <c r="W347" s="10"/>
      <c r="X347" s="10"/>
      <c r="Y347" s="10"/>
      <c r="Z347" s="10"/>
      <c r="AA347" s="10"/>
    </row>
    <row r="348" spans="1:27">
      <c r="A348" s="5"/>
      <c r="B348" s="5"/>
      <c r="C348" s="424">
        <f>IF($E$255&lt;1.25,$E$256-0.05,IF($E$255&lt;2,$E$256-0.08,IF($E$255&lt;3,$E$256-0.1,IF($E$255&lt;6,$E$256-0.15,IF($E$255&lt;15,$E$256-0.3,IF($E$255&lt;25,$E$256-0.5,IF($E$255&lt;40,$E$256-1)))))))</f>
        <v>2.19</v>
      </c>
      <c r="D348" s="427">
        <f>IF($E$255&lt;1.25,$E$256+0.1,IF($E$255&lt;2,$E$256+0.15,IF($E$255&lt;3,$E$256+0.2,IF($E$255&lt;6,$E$256+0.3,IF($E$255&lt;15,$E$256+0.3,IF($E$255&lt;25,$E$256+0.5,IF($E$255&lt;40,$E$256+1)))))))</f>
        <v>2.42</v>
      </c>
      <c r="E348" s="10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10"/>
      <c r="U348" s="9"/>
      <c r="V348" s="10"/>
      <c r="W348" s="10"/>
      <c r="X348" s="10"/>
      <c r="Y348" s="10"/>
      <c r="Z348" s="10"/>
      <c r="AA348" s="10"/>
    </row>
    <row r="349" spans="1:27">
      <c r="A349" s="5"/>
      <c r="B349" s="5"/>
      <c r="C349" s="428" t="s">
        <v>162</v>
      </c>
      <c r="D349" s="308"/>
      <c r="E349" s="10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8"/>
      <c r="U349" s="9"/>
      <c r="V349" s="10"/>
      <c r="W349" s="10"/>
      <c r="X349" s="10"/>
      <c r="Y349" s="10"/>
      <c r="Z349" s="10"/>
      <c r="AA349" s="10"/>
    </row>
    <row r="350" spans="1:27">
      <c r="A350" s="5"/>
      <c r="B350" s="5"/>
      <c r="C350" s="249"/>
      <c r="D350" s="9"/>
      <c r="E350" s="10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8"/>
      <c r="U350" s="9"/>
      <c r="V350" s="10"/>
      <c r="W350" s="10"/>
      <c r="X350" s="10"/>
      <c r="Y350" s="10"/>
      <c r="Z350" s="10"/>
      <c r="AA350" s="10"/>
    </row>
    <row r="351" ht="32.4" customHeight="1" spans="1:27">
      <c r="A351" s="5"/>
      <c r="B351" s="5"/>
      <c r="C351" s="431" t="s">
        <v>163</v>
      </c>
      <c r="D351" s="432">
        <f>E8</f>
        <v>17.3</v>
      </c>
      <c r="E351" s="433" t="s">
        <v>164</v>
      </c>
      <c r="F351" s="434">
        <f>$D$296/$E$301</f>
        <v>17.48</v>
      </c>
      <c r="G351" s="433" t="s">
        <v>9</v>
      </c>
      <c r="H351" s="435"/>
      <c r="I351" s="431" t="s">
        <v>165</v>
      </c>
      <c r="J351" s="432">
        <f>$D$297/$E$301</f>
        <v>27.79</v>
      </c>
      <c r="K351" s="431" t="s">
        <v>164</v>
      </c>
      <c r="L351" s="432">
        <f>$E$7</f>
        <v>28</v>
      </c>
      <c r="M351" s="431" t="s">
        <v>9</v>
      </c>
      <c r="N351" s="431"/>
      <c r="O351" s="431"/>
      <c r="P351" s="431"/>
      <c r="Q351" s="431"/>
      <c r="R351" s="431"/>
      <c r="S351" s="431"/>
      <c r="T351" s="431" t="s">
        <v>166</v>
      </c>
      <c r="U351" s="432">
        <f>($E$7-$E$8)/LN($E$7/$E$8)</f>
        <v>22.2223141265381</v>
      </c>
      <c r="V351" s="433" t="str">
        <f>$E$303</f>
        <v> mm</v>
      </c>
      <c r="W351" s="10"/>
      <c r="X351" s="433" t="s">
        <v>167</v>
      </c>
      <c r="Y351" s="433"/>
      <c r="Z351" s="10"/>
      <c r="AA351" s="10"/>
    </row>
    <row r="352" spans="1:27">
      <c r="A352" s="5"/>
      <c r="B352" s="5"/>
      <c r="C352" s="9"/>
      <c r="D352" s="9"/>
      <c r="E352" s="10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8"/>
      <c r="U352" s="9"/>
      <c r="V352" s="10"/>
      <c r="W352" s="10"/>
      <c r="X352" s="10"/>
      <c r="Y352" s="10"/>
      <c r="Z352" s="10"/>
      <c r="AA352" s="10"/>
    </row>
    <row r="353" spans="1:27">
      <c r="A353" s="5"/>
      <c r="B353" s="5"/>
      <c r="C353" s="9"/>
      <c r="D353" s="9"/>
      <c r="E353" s="10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8"/>
      <c r="U353" s="9"/>
      <c r="V353" s="10"/>
      <c r="W353" s="10"/>
      <c r="X353" s="10"/>
      <c r="Y353" s="10"/>
      <c r="Z353" s="10"/>
      <c r="AA353" s="10"/>
    </row>
    <row r="354" spans="1:27">
      <c r="A354" s="5"/>
      <c r="B354" s="5"/>
      <c r="C354" s="9"/>
      <c r="D354" s="9"/>
      <c r="E354" s="10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8"/>
      <c r="U354" s="9"/>
      <c r="V354" s="10"/>
      <c r="W354" s="10"/>
      <c r="X354" s="10"/>
      <c r="Y354" s="10"/>
      <c r="Z354" s="10"/>
      <c r="AA354" s="10"/>
    </row>
    <row r="355" spans="1:27">
      <c r="A355" s="5"/>
      <c r="B355" s="5"/>
      <c r="C355" s="9"/>
      <c r="D355" s="9"/>
      <c r="E355" s="10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8"/>
      <c r="U355" s="9"/>
      <c r="V355" s="10"/>
      <c r="W355" s="10"/>
      <c r="X355" s="10"/>
      <c r="Y355" s="10"/>
      <c r="Z355" s="10"/>
      <c r="AA355" s="10"/>
    </row>
    <row r="356" spans="1:27">
      <c r="A356" s="5"/>
      <c r="B356" s="5"/>
      <c r="C356" s="9"/>
      <c r="D356" s="9"/>
      <c r="E356" s="10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8"/>
      <c r="U356" s="9"/>
      <c r="V356" s="10"/>
      <c r="W356" s="10"/>
      <c r="X356" s="10"/>
      <c r="Y356" s="10"/>
      <c r="Z356" s="10"/>
      <c r="AA356" s="10"/>
    </row>
    <row r="357" spans="1:27">
      <c r="A357" s="5"/>
      <c r="B357" s="5"/>
      <c r="C357" s="9"/>
      <c r="D357" s="9"/>
      <c r="E357" s="10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8"/>
      <c r="U357" s="9"/>
      <c r="V357" s="10"/>
      <c r="W357" s="10"/>
      <c r="X357" s="10"/>
      <c r="Y357" s="10"/>
      <c r="Z357" s="10"/>
      <c r="AA357" s="10"/>
    </row>
    <row r="358" spans="1:27">
      <c r="A358" s="5"/>
      <c r="B358" s="5"/>
      <c r="C358" s="9"/>
      <c r="D358" s="9"/>
      <c r="E358" s="10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8"/>
      <c r="U358" s="9"/>
      <c r="V358" s="10"/>
      <c r="W358" s="10"/>
      <c r="X358" s="10"/>
      <c r="Y358" s="10"/>
      <c r="Z358" s="10"/>
      <c r="AA358" s="10"/>
    </row>
    <row r="359" spans="1:27">
      <c r="A359" s="5"/>
      <c r="B359" s="5"/>
      <c r="C359" s="9"/>
      <c r="D359" s="9"/>
      <c r="E359" s="10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8"/>
      <c r="U359" s="9"/>
      <c r="V359" s="10"/>
      <c r="W359" s="10"/>
      <c r="X359" s="10"/>
      <c r="Y359" s="10"/>
      <c r="Z359" s="10"/>
      <c r="AA359" s="10"/>
    </row>
    <row r="360" spans="1:27">
      <c r="A360" s="5"/>
      <c r="B360" s="5"/>
      <c r="C360" s="9"/>
      <c r="D360" s="9"/>
      <c r="E360" s="10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8"/>
      <c r="U360" s="9"/>
      <c r="V360" s="10"/>
      <c r="W360" s="10"/>
      <c r="X360" s="10"/>
      <c r="Y360" s="10"/>
      <c r="Z360" s="10"/>
      <c r="AA360" s="10"/>
    </row>
    <row r="361" spans="1:27">
      <c r="A361" s="5"/>
      <c r="B361" s="5"/>
      <c r="C361" s="9"/>
      <c r="D361" s="9"/>
      <c r="E361" s="10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8"/>
      <c r="U361" s="9"/>
      <c r="V361" s="10"/>
      <c r="W361" s="10"/>
      <c r="X361" s="10"/>
      <c r="Y361" s="10"/>
      <c r="Z361" s="10"/>
      <c r="AA361" s="10"/>
    </row>
    <row r="362" spans="1:27">
      <c r="A362" s="5"/>
      <c r="B362" s="5"/>
      <c r="C362" s="9"/>
      <c r="D362" s="9"/>
      <c r="E362" s="10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8"/>
      <c r="U362" s="9"/>
      <c r="V362" s="10"/>
      <c r="W362" s="10"/>
      <c r="X362" s="10"/>
      <c r="Y362" s="10"/>
      <c r="Z362" s="10"/>
      <c r="AA362" s="10"/>
    </row>
    <row r="363" spans="1:27">
      <c r="A363" s="5"/>
      <c r="B363" s="5"/>
      <c r="C363" s="9"/>
      <c r="D363" s="9"/>
      <c r="E363" s="10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8"/>
      <c r="U363" s="9"/>
      <c r="V363" s="10"/>
      <c r="W363" s="10"/>
      <c r="X363" s="10"/>
      <c r="Y363" s="10"/>
      <c r="Z363" s="10"/>
      <c r="AA363" s="10"/>
    </row>
    <row r="364" spans="1:27">
      <c r="A364" s="5"/>
      <c r="B364" s="5"/>
      <c r="C364" s="9"/>
      <c r="D364" s="9"/>
      <c r="E364" s="10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8"/>
      <c r="U364" s="9"/>
      <c r="V364" s="10"/>
      <c r="W364" s="10"/>
      <c r="X364" s="10"/>
      <c r="Y364" s="10"/>
      <c r="Z364" s="10"/>
      <c r="AA364" s="10"/>
    </row>
    <row r="365" spans="1:27">
      <c r="A365" s="5"/>
      <c r="B365" s="5"/>
      <c r="C365" s="9"/>
      <c r="D365" s="9"/>
      <c r="E365" s="10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8"/>
      <c r="U365" s="9"/>
      <c r="V365" s="10"/>
      <c r="W365" s="10"/>
      <c r="X365" s="10"/>
      <c r="Y365" s="10"/>
      <c r="Z365" s="10"/>
      <c r="AA365" s="10"/>
    </row>
    <row r="366" spans="1:27">
      <c r="A366" s="5"/>
      <c r="B366" s="5"/>
      <c r="C366" s="9"/>
      <c r="D366" s="9"/>
      <c r="E366" s="10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8"/>
      <c r="U366" s="9"/>
      <c r="V366" s="10"/>
      <c r="W366" s="10"/>
      <c r="X366" s="10"/>
      <c r="Y366" s="10"/>
      <c r="Z366" s="10"/>
      <c r="AA366" s="10"/>
    </row>
    <row r="367" spans="1:27">
      <c r="A367" s="5"/>
      <c r="B367" s="5"/>
      <c r="C367" s="9"/>
      <c r="D367" s="9"/>
      <c r="E367" s="10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8"/>
      <c r="U367" s="9"/>
      <c r="V367" s="10"/>
      <c r="W367" s="10"/>
      <c r="X367" s="10"/>
      <c r="Y367" s="10"/>
      <c r="Z367" s="10"/>
      <c r="AA367" s="10"/>
    </row>
    <row r="368" spans="1:27">
      <c r="A368" s="5"/>
      <c r="B368" s="5"/>
      <c r="C368" s="9"/>
      <c r="D368" s="9"/>
      <c r="E368" s="10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8"/>
      <c r="U368" s="9"/>
      <c r="V368" s="10"/>
      <c r="W368" s="10"/>
      <c r="X368" s="10"/>
      <c r="Y368" s="10"/>
      <c r="Z368" s="10"/>
      <c r="AA368" s="10"/>
    </row>
    <row r="369" spans="1:27">
      <c r="A369" s="5"/>
      <c r="B369" s="5"/>
      <c r="C369" s="9"/>
      <c r="D369" s="9"/>
      <c r="E369" s="10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8"/>
      <c r="U369" s="9"/>
      <c r="V369" s="10"/>
      <c r="W369" s="10"/>
      <c r="X369" s="10"/>
      <c r="Y369" s="10"/>
      <c r="Z369" s="10"/>
      <c r="AA369" s="10"/>
    </row>
    <row r="370" spans="1:27">
      <c r="A370" s="5"/>
      <c r="B370" s="5"/>
      <c r="C370" s="9"/>
      <c r="D370" s="9"/>
      <c r="E370" s="10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8"/>
      <c r="U370" s="9"/>
      <c r="V370" s="10"/>
      <c r="W370" s="10"/>
      <c r="X370" s="10"/>
      <c r="Y370" s="10"/>
      <c r="Z370" s="10"/>
      <c r="AA370" s="10"/>
    </row>
    <row r="371" spans="1:27">
      <c r="A371" s="5"/>
      <c r="B371" s="5"/>
      <c r="C371" s="9"/>
      <c r="D371" s="9"/>
      <c r="E371" s="10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8"/>
      <c r="U371" s="9"/>
      <c r="V371" s="10"/>
      <c r="W371" s="10"/>
      <c r="X371" s="10"/>
      <c r="Y371" s="10"/>
      <c r="Z371" s="10"/>
      <c r="AA371" s="10"/>
    </row>
    <row r="372" spans="1:27">
      <c r="A372" s="5"/>
      <c r="B372" s="5"/>
      <c r="C372" s="9"/>
      <c r="D372" s="9"/>
      <c r="E372" s="10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8"/>
      <c r="U372" s="9"/>
      <c r="V372" s="10"/>
      <c r="W372" s="10"/>
      <c r="X372" s="10"/>
      <c r="Y372" s="10"/>
      <c r="Z372" s="10"/>
      <c r="AA372" s="10"/>
    </row>
    <row r="373" spans="1:27">
      <c r="A373" s="5"/>
      <c r="B373" s="5"/>
      <c r="C373" s="9"/>
      <c r="D373" s="9"/>
      <c r="E373" s="10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8"/>
      <c r="U373" s="9"/>
      <c r="V373" s="10"/>
      <c r="W373" s="10"/>
      <c r="X373" s="10"/>
      <c r="Y373" s="10"/>
      <c r="Z373" s="10"/>
      <c r="AA373" s="10"/>
    </row>
    <row r="374" spans="1:27">
      <c r="A374" s="5"/>
      <c r="B374" s="5"/>
      <c r="C374" s="9"/>
      <c r="D374" s="9"/>
      <c r="E374" s="10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8"/>
      <c r="U374" s="9"/>
      <c r="V374" s="10"/>
      <c r="W374" s="10"/>
      <c r="X374" s="10"/>
      <c r="Y374" s="10"/>
      <c r="Z374" s="10"/>
      <c r="AA374" s="10"/>
    </row>
    <row r="375" spans="1:27">
      <c r="C375" s="9"/>
      <c r="D375" s="9"/>
      <c r="E375" s="10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8"/>
      <c r="U375" s="9"/>
      <c r="V375" s="10"/>
      <c r="W375" s="10"/>
      <c r="X375" s="10"/>
      <c r="Y375" s="10"/>
      <c r="Z375" s="10"/>
      <c r="AA375" s="10"/>
    </row>
    <row r="376" spans="1:27">
      <c r="C376" s="9"/>
      <c r="D376" s="9"/>
      <c r="E376" s="10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8"/>
      <c r="U376" s="9"/>
      <c r="V376" s="10"/>
      <c r="W376" s="10"/>
      <c r="X376" s="10"/>
      <c r="Y376" s="10"/>
      <c r="Z376" s="10"/>
      <c r="AA376" s="10"/>
    </row>
    <row r="377" spans="1:27">
      <c r="C377" s="9"/>
      <c r="D377" s="9"/>
      <c r="E377" s="10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8"/>
      <c r="U377" s="9"/>
      <c r="V377" s="10"/>
      <c r="W377" s="10"/>
      <c r="X377" s="10"/>
      <c r="Y377" s="10"/>
      <c r="Z377" s="10"/>
      <c r="AA377" s="10"/>
    </row>
    <row r="378" spans="1:27">
      <c r="C378" s="9"/>
      <c r="D378" s="9"/>
      <c r="E378" s="10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8"/>
      <c r="U378" s="9"/>
      <c r="V378" s="10"/>
      <c r="W378" s="10"/>
      <c r="X378" s="10"/>
      <c r="Y378" s="10"/>
      <c r="Z378" s="10"/>
      <c r="AA378" s="10"/>
    </row>
    <row r="379" spans="1:27">
      <c r="C379" s="9"/>
      <c r="D379" s="9"/>
      <c r="E379" s="10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8"/>
      <c r="U379" s="9"/>
      <c r="V379" s="10"/>
      <c r="W379" s="10"/>
      <c r="X379" s="10"/>
      <c r="Y379" s="10"/>
      <c r="Z379" s="10"/>
      <c r="AA379" s="10"/>
    </row>
    <row r="380" spans="1:27">
      <c r="C380" s="9"/>
      <c r="D380" s="9"/>
      <c r="E380" s="10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8"/>
      <c r="U380" s="9"/>
      <c r="V380" s="10"/>
      <c r="W380" s="10"/>
      <c r="X380" s="10"/>
      <c r="Y380" s="10"/>
      <c r="Z380" s="10"/>
      <c r="AA380" s="10"/>
    </row>
    <row r="381" spans="1:27">
      <c r="C381" s="9"/>
      <c r="D381" s="9"/>
      <c r="E381" s="10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8"/>
      <c r="U381" s="9"/>
      <c r="V381" s="10"/>
      <c r="W381" s="10"/>
      <c r="X381" s="10"/>
      <c r="Y381" s="10"/>
      <c r="Z381" s="10"/>
      <c r="AA381" s="10"/>
    </row>
    <row r="382" spans="1:27">
      <c r="C382" s="9"/>
      <c r="D382" s="9"/>
      <c r="E382" s="10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8"/>
      <c r="U382" s="9"/>
      <c r="V382" s="10"/>
      <c r="W382" s="10"/>
      <c r="X382" s="10"/>
      <c r="Y382" s="10"/>
      <c r="Z382" s="10"/>
      <c r="AA382" s="10"/>
    </row>
    <row r="383" spans="1:27">
      <c r="C383" s="9"/>
      <c r="D383" s="9"/>
      <c r="E383" s="10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8"/>
      <c r="U383" s="9"/>
      <c r="V383" s="10"/>
      <c r="W383" s="10"/>
      <c r="X383" s="10"/>
      <c r="Y383" s="10"/>
      <c r="Z383" s="10"/>
      <c r="AA383" s="10"/>
    </row>
    <row r="384" spans="1:27">
      <c r="C384" s="9"/>
      <c r="D384" s="9"/>
      <c r="E384" s="10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8"/>
      <c r="U384" s="9"/>
      <c r="V384" s="10"/>
      <c r="W384" s="10"/>
      <c r="X384" s="10"/>
      <c r="Y384" s="10"/>
      <c r="Z384" s="10"/>
      <c r="AA384" s="10"/>
    </row>
  </sheetData>
  <sheetProtection selectLockedCells="1"/>
  <mergeCells count="17">
    <mergeCell ref="B2:N2"/>
    <mergeCell ref="E5:M5"/>
    <mergeCell ref="D22:E22"/>
    <mergeCell ref="D23:E23"/>
    <mergeCell ref="D24:E24"/>
    <mergeCell ref="C25:F25"/>
    <mergeCell ref="H27:L27"/>
    <mergeCell ref="D38:M38"/>
    <mergeCell ref="C39:M39"/>
    <mergeCell ref="C40:M40"/>
    <mergeCell ref="C41:N41"/>
    <mergeCell ref="K87:M87"/>
    <mergeCell ref="N87:U87"/>
    <mergeCell ref="B3:B41"/>
    <mergeCell ref="G14:G27"/>
    <mergeCell ref="U6:U7"/>
    <mergeCell ref="E3:M4"/>
  </mergeCells>
  <printOptions horizontalCentered="1"/>
  <pageMargins left="0.31496062992126" right="0.31496062992126" top="0.354330708661417" bottom="0.354330708661417" header="0.118110236220472" footer="0.118110236220472"/>
  <pageSetup paperSize="9" scale="60" orientation="portrait" horizontalDpi="1200" verticalDpi="12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384"/>
  <sheetViews>
    <sheetView zoomScale="60" zoomScaleNormal="60" topLeftCell="A7" workbookViewId="0">
      <selection activeCell="D16" sqref="D16:D24"/>
    </sheetView>
  </sheetViews>
  <sheetFormatPr defaultColWidth="9" defaultRowHeight="18"/>
  <cols>
    <col min="2" max="2" width="5.6" customWidth="1"/>
    <col min="3" max="6" width="19.8" customWidth="1"/>
    <col min="7" max="7" width="12.575" customWidth="1"/>
    <col min="8" max="8" width="14.6666666666667" style="1" customWidth="1"/>
    <col min="9" max="9" width="14.225" customWidth="1"/>
    <col min="10" max="10" width="15.4416666666667" customWidth="1"/>
    <col min="11" max="12" width="13.775" customWidth="1"/>
    <col min="13" max="13" width="14.225" customWidth="1"/>
    <col min="14" max="14" width="14.1083333333333" customWidth="1"/>
    <col min="15" max="15" width="13" customWidth="1"/>
    <col min="16" max="16" width="13.1833333333333" customWidth="1"/>
    <col min="17" max="22" width="5.60833333333333" customWidth="1"/>
    <col min="23" max="23" width="8.91666666666667" style="1" customWidth="1"/>
    <col min="24" max="24" width="14.9166666666667" customWidth="1"/>
    <col min="25" max="25" width="16.8916666666667" style="1" customWidth="1"/>
    <col min="26" max="26" width="20.6" style="1" customWidth="1"/>
    <col min="27" max="27" width="16.6666666666667" style="1" customWidth="1"/>
    <col min="28" max="28" width="13.9333333333333" style="1" customWidth="1"/>
    <col min="29" max="29" width="9.53333333333333" style="1" customWidth="1"/>
    <col min="30" max="30" width="20.15" style="1" customWidth="1"/>
    <col min="31" max="31" width="12.8916666666667" style="1" customWidth="1"/>
    <col min="32" max="32" width="15.4" style="2" customWidth="1"/>
    <col min="33" max="33" width="18.0916666666667" style="1" customWidth="1"/>
    <col min="34" max="34" width="13.925" style="3" customWidth="1"/>
    <col min="37" max="37" width="12.6666666666667"/>
    <col min="38" max="38" width="14.1666666666667" style="4"/>
  </cols>
  <sheetData>
    <row r="1" ht="22" customHeight="1"/>
    <row r="2" customFormat="1" ht="30" customHeight="1" spans="1:38">
      <c r="A2" s="5"/>
      <c r="B2" s="6"/>
      <c r="C2" s="6"/>
      <c r="D2" s="6"/>
      <c r="E2" s="6"/>
      <c r="F2" s="6"/>
      <c r="G2" s="6"/>
      <c r="H2" s="7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8"/>
      <c r="X2" s="9"/>
      <c r="Y2" s="10">
        <v>15</v>
      </c>
      <c r="Z2" s="10">
        <f>H14*1.15</f>
        <v>4635.38713682285</v>
      </c>
      <c r="AA2" s="10"/>
      <c r="AB2" s="10"/>
      <c r="AC2" s="10"/>
      <c r="AD2" s="10"/>
      <c r="AE2" s="1"/>
      <c r="AF2" s="2"/>
      <c r="AG2" s="1"/>
      <c r="AH2" s="3"/>
      <c r="AL2" s="4"/>
    </row>
    <row r="3" customFormat="1" ht="24.6" customHeight="1" spans="1:38">
      <c r="A3" s="5"/>
      <c r="B3" s="6"/>
      <c r="C3" s="11"/>
      <c r="D3" s="12"/>
      <c r="E3" s="12"/>
      <c r="F3" s="13"/>
      <c r="G3" s="13"/>
      <c r="H3" s="14" t="s">
        <v>0</v>
      </c>
      <c r="I3" s="15"/>
      <c r="J3" s="15"/>
      <c r="K3" s="15"/>
      <c r="L3" s="15"/>
      <c r="M3" s="15"/>
      <c r="N3" s="15"/>
      <c r="O3" s="15"/>
      <c r="P3" s="16"/>
      <c r="Q3" s="17"/>
      <c r="R3" s="17"/>
      <c r="S3" s="17"/>
      <c r="T3" s="17"/>
      <c r="U3" s="17"/>
      <c r="V3" s="17"/>
      <c r="W3" s="8"/>
      <c r="X3" s="9"/>
      <c r="Y3" s="10">
        <v>7.5</v>
      </c>
      <c r="Z3" s="10">
        <f>H14*0.925</f>
        <v>3728.4635665749</v>
      </c>
      <c r="AA3" s="10"/>
      <c r="AB3" s="10"/>
      <c r="AC3" s="10"/>
      <c r="AD3" s="10"/>
      <c r="AE3" s="1"/>
      <c r="AF3" s="2"/>
      <c r="AG3" s="1"/>
      <c r="AH3" s="3"/>
      <c r="AL3" s="4"/>
    </row>
    <row r="4" customFormat="1" ht="29" customHeight="1" spans="1:38">
      <c r="A4" s="5"/>
      <c r="B4" s="6"/>
      <c r="C4" s="18"/>
      <c r="D4" s="19"/>
      <c r="E4" s="19"/>
      <c r="F4" s="20"/>
      <c r="G4" s="20"/>
      <c r="H4" s="21"/>
      <c r="I4" s="17"/>
      <c r="J4" s="17"/>
      <c r="K4" s="17"/>
      <c r="L4" s="17"/>
      <c r="M4" s="17"/>
      <c r="N4" s="17"/>
      <c r="O4" s="17"/>
      <c r="P4" s="22"/>
      <c r="Q4" s="17"/>
      <c r="R4" s="17"/>
      <c r="S4" s="17"/>
      <c r="T4" s="17"/>
      <c r="U4" s="17"/>
      <c r="V4" s="17"/>
      <c r="W4" s="8"/>
      <c r="X4" s="9"/>
      <c r="Y4" s="10">
        <f>H14*1.15</f>
        <v>4635.38713682285</v>
      </c>
      <c r="Z4" s="10"/>
      <c r="AA4" s="10"/>
      <c r="AB4" s="10"/>
      <c r="AC4" s="10"/>
      <c r="AD4" s="10"/>
      <c r="AE4" s="1"/>
      <c r="AF4" s="2"/>
      <c r="AG4" s="1"/>
      <c r="AH4" s="3"/>
      <c r="AL4" s="4"/>
    </row>
    <row r="5" customFormat="1" ht="37" customHeight="1" spans="1:38">
      <c r="A5" s="5"/>
      <c r="B5" s="6"/>
      <c r="C5" s="18"/>
      <c r="D5" s="19"/>
      <c r="E5" s="19"/>
      <c r="F5" s="20"/>
      <c r="G5" s="20"/>
      <c r="H5" s="23" t="s">
        <v>1</v>
      </c>
      <c r="I5" s="24"/>
      <c r="J5" s="25"/>
      <c r="K5" s="25"/>
      <c r="L5" s="25"/>
      <c r="M5" s="25"/>
      <c r="N5" s="25"/>
      <c r="O5" s="25"/>
      <c r="P5" s="26"/>
      <c r="Q5" s="24"/>
      <c r="R5" s="24"/>
      <c r="S5" s="24"/>
      <c r="T5" s="24"/>
      <c r="U5" s="24"/>
      <c r="V5" s="24"/>
      <c r="W5" s="8"/>
      <c r="X5" s="9"/>
      <c r="Y5" s="10"/>
      <c r="Z5" s="1"/>
      <c r="AA5" s="1"/>
      <c r="AB5" s="10"/>
      <c r="AC5" s="27" t="s">
        <v>2</v>
      </c>
      <c r="AD5" s="28">
        <f>(((AD9-1)/AD9)^2)/(3.1415926*((AD9+1)/(AD9-1)-2/LN(AD9)))</f>
        <v>0.581474272160731</v>
      </c>
      <c r="AE5" s="1"/>
      <c r="AF5" s="2"/>
      <c r="AG5" s="1"/>
      <c r="AH5" s="3"/>
      <c r="AL5" s="4"/>
    </row>
    <row r="6" customFormat="1" ht="32.4" customHeight="1" spans="1:38">
      <c r="A6" s="5"/>
      <c r="B6" s="6"/>
      <c r="C6" s="29" t="s">
        <v>168</v>
      </c>
      <c r="D6" s="29"/>
      <c r="E6" s="29"/>
      <c r="F6" s="29" t="s">
        <v>3</v>
      </c>
      <c r="G6" s="30"/>
      <c r="H6" s="31"/>
      <c r="I6" s="30"/>
      <c r="J6" s="20"/>
      <c r="K6" s="20"/>
      <c r="L6" s="20"/>
      <c r="M6" s="20"/>
      <c r="N6" s="32"/>
      <c r="O6" s="33"/>
      <c r="P6" s="34"/>
      <c r="Q6" s="20"/>
      <c r="R6" s="20"/>
      <c r="S6" s="20"/>
      <c r="T6" s="20"/>
      <c r="U6" s="20"/>
      <c r="V6" s="20"/>
      <c r="W6" s="8"/>
      <c r="X6" s="35" t="s">
        <v>4</v>
      </c>
      <c r="Y6" s="36" t="s">
        <v>5</v>
      </c>
      <c r="Z6" s="37">
        <f>(H7-H8)/(H7-H8-3*Z7)</f>
        <v>1</v>
      </c>
      <c r="AA6" s="1"/>
      <c r="AB6" s="10"/>
      <c r="AC6" s="27" t="s">
        <v>6</v>
      </c>
      <c r="AD6" s="28">
        <f>(6/3.1415926)*((AD9-1)/LN(AD9)-1)/LN(AD9)</f>
        <v>1.12857418543928</v>
      </c>
      <c r="AE6" s="1"/>
      <c r="AF6" s="38">
        <v>31.5</v>
      </c>
      <c r="AG6" s="1"/>
      <c r="AH6" s="3"/>
      <c r="AL6" s="4"/>
    </row>
    <row r="7" customFormat="1" ht="28.95" customHeight="1" spans="1:38">
      <c r="A7" s="5"/>
      <c r="B7" s="6"/>
      <c r="C7" s="39" t="s">
        <v>169</v>
      </c>
      <c r="D7" s="39"/>
      <c r="E7" s="39"/>
      <c r="F7" s="39" t="s">
        <v>7</v>
      </c>
      <c r="G7" s="40" t="s">
        <v>8</v>
      </c>
      <c r="H7" s="41">
        <v>28</v>
      </c>
      <c r="I7" s="42" t="s">
        <v>9</v>
      </c>
      <c r="J7" s="20"/>
      <c r="K7" s="20"/>
      <c r="L7" s="20"/>
      <c r="M7" s="20"/>
      <c r="N7" s="20"/>
      <c r="O7" s="20"/>
      <c r="P7" s="34"/>
      <c r="Q7" s="20"/>
      <c r="R7" s="20"/>
      <c r="S7" s="20"/>
      <c r="T7" s="20"/>
      <c r="U7" s="20"/>
      <c r="V7" s="20"/>
      <c r="W7" s="8"/>
      <c r="X7" s="43"/>
      <c r="Y7" s="44" t="s">
        <v>10</v>
      </c>
      <c r="Z7" s="45">
        <v>0</v>
      </c>
      <c r="AA7" s="1"/>
      <c r="AB7" s="10"/>
      <c r="AC7" s="27" t="s">
        <v>11</v>
      </c>
      <c r="AD7" s="28">
        <f>(3/3.1415926)*(AD9-1)/LN(AD9)</f>
        <v>1.22663278630424</v>
      </c>
      <c r="AE7" s="1"/>
      <c r="AF7" s="38">
        <v>16.3</v>
      </c>
      <c r="AG7" s="1"/>
      <c r="AH7" s="3"/>
      <c r="AL7" s="4"/>
    </row>
    <row r="8" customFormat="1" ht="33" customHeight="1" spans="1:38">
      <c r="A8" s="5"/>
      <c r="B8" s="6"/>
      <c r="C8" s="39" t="s">
        <v>170</v>
      </c>
      <c r="D8" s="39"/>
      <c r="E8" s="39"/>
      <c r="F8" s="39" t="s">
        <v>12</v>
      </c>
      <c r="G8" s="40" t="s">
        <v>13</v>
      </c>
      <c r="H8" s="41">
        <v>17.3</v>
      </c>
      <c r="I8" s="42" t="s">
        <v>9</v>
      </c>
      <c r="J8" s="20"/>
      <c r="K8" s="20"/>
      <c r="L8" s="20"/>
      <c r="M8" s="20"/>
      <c r="N8" s="20"/>
      <c r="O8" s="20"/>
      <c r="P8" s="34"/>
      <c r="Q8" s="20"/>
      <c r="R8" s="20"/>
      <c r="S8" s="20"/>
      <c r="T8" s="20"/>
      <c r="U8" s="20"/>
      <c r="V8" s="20"/>
      <c r="W8" s="8"/>
      <c r="X8" s="43" t="s">
        <v>14</v>
      </c>
      <c r="Y8" s="46" t="s">
        <v>15</v>
      </c>
      <c r="Z8" s="45">
        <v>1.65</v>
      </c>
      <c r="AA8" s="1"/>
      <c r="AB8" s="10"/>
      <c r="AC8" s="27" t="s">
        <v>16</v>
      </c>
      <c r="AD8" s="28">
        <f>(-AD10/2+((AD10/2)^2+AD11)^(0.5))^(0.5)</f>
        <v>1</v>
      </c>
      <c r="AE8" s="1"/>
      <c r="AF8" s="38">
        <v>1.75</v>
      </c>
      <c r="AG8" s="1"/>
      <c r="AH8" s="3"/>
      <c r="AL8" s="47"/>
    </row>
    <row r="9" customFormat="1" ht="31.2" customHeight="1" spans="1:38">
      <c r="A9" s="5"/>
      <c r="B9" s="6"/>
      <c r="C9" s="39" t="s">
        <v>171</v>
      </c>
      <c r="D9" s="39"/>
      <c r="E9" s="39"/>
      <c r="F9" s="39" t="s">
        <v>17</v>
      </c>
      <c r="G9" s="40" t="s">
        <v>18</v>
      </c>
      <c r="H9" s="41">
        <v>1.5</v>
      </c>
      <c r="I9" s="42" t="s">
        <v>9</v>
      </c>
      <c r="J9" s="20"/>
      <c r="K9" s="20"/>
      <c r="L9" s="20"/>
      <c r="M9" s="20"/>
      <c r="N9" s="20"/>
      <c r="O9" s="20"/>
      <c r="P9" s="34"/>
      <c r="Q9" s="20"/>
      <c r="R9" s="20"/>
      <c r="S9" s="20"/>
      <c r="T9" s="20"/>
      <c r="U9" s="20"/>
      <c r="V9" s="20"/>
      <c r="W9" s="8"/>
      <c r="X9" s="48" t="s">
        <v>19</v>
      </c>
      <c r="Y9" s="46" t="s">
        <v>20</v>
      </c>
      <c r="Z9" s="49">
        <f>H13/H9</f>
        <v>0.513333333333333</v>
      </c>
      <c r="AA9" s="50"/>
      <c r="AB9" s="10"/>
      <c r="AC9" s="27" t="s">
        <v>21</v>
      </c>
      <c r="AD9" s="28">
        <f>H7/H8</f>
        <v>1.61849710982659</v>
      </c>
      <c r="AE9" s="1"/>
      <c r="AF9" s="38">
        <v>1.75</v>
      </c>
      <c r="AG9" s="1"/>
      <c r="AH9" s="3"/>
      <c r="AL9" s="47"/>
    </row>
    <row r="10" customFormat="1" ht="31.2" customHeight="1" spans="1:38">
      <c r="A10" s="5"/>
      <c r="B10" s="6"/>
      <c r="C10" s="39" t="s">
        <v>172</v>
      </c>
      <c r="D10" s="39"/>
      <c r="E10" s="39"/>
      <c r="F10" s="39" t="s">
        <v>22</v>
      </c>
      <c r="G10" s="40" t="s">
        <v>23</v>
      </c>
      <c r="H10" s="41">
        <v>1.5</v>
      </c>
      <c r="I10" s="42" t="s">
        <v>9</v>
      </c>
      <c r="J10" s="20"/>
      <c r="K10" s="20"/>
      <c r="L10" s="20"/>
      <c r="M10" s="20"/>
      <c r="N10" s="20"/>
      <c r="O10" s="20"/>
      <c r="P10" s="34"/>
      <c r="Q10" s="20"/>
      <c r="R10" s="20"/>
      <c r="S10" s="20"/>
      <c r="T10" s="20"/>
      <c r="U10" s="20"/>
      <c r="V10" s="20"/>
      <c r="W10" s="8"/>
      <c r="X10" s="51" t="s">
        <v>24</v>
      </c>
      <c r="Y10" s="52" t="s">
        <v>25</v>
      </c>
      <c r="Z10" s="53">
        <v>1.5</v>
      </c>
      <c r="AA10" s="50"/>
      <c r="AB10" s="10"/>
      <c r="AC10" s="27" t="s">
        <v>26</v>
      </c>
      <c r="AD10" s="28">
        <f>((H10/H9)^2)/((0.25*(H11/H9)-H10/H9+0.75)*(0.625*(H11/H9)-H10/H9+0.375))</f>
        <v>24.2874009107775</v>
      </c>
      <c r="AE10" s="1"/>
      <c r="AF10" s="38">
        <v>2.45</v>
      </c>
      <c r="AG10" s="1"/>
      <c r="AH10" s="3"/>
      <c r="AL10" s="47"/>
    </row>
    <row r="11" customFormat="1" ht="33.6" customHeight="1" spans="1:38">
      <c r="A11" s="5"/>
      <c r="B11" s="6"/>
      <c r="C11" s="39" t="s">
        <v>173</v>
      </c>
      <c r="D11" s="39"/>
      <c r="E11" s="39"/>
      <c r="F11" s="39" t="s">
        <v>27</v>
      </c>
      <c r="G11" s="54" t="s">
        <v>28</v>
      </c>
      <c r="H11" s="41">
        <v>2.27</v>
      </c>
      <c r="I11" s="42" t="s">
        <v>9</v>
      </c>
      <c r="J11" s="20"/>
      <c r="K11" s="20"/>
      <c r="L11" s="20"/>
      <c r="M11" s="20"/>
      <c r="N11" s="20"/>
      <c r="O11" s="20"/>
      <c r="P11" s="34"/>
      <c r="Q11" s="20"/>
      <c r="R11" s="20"/>
      <c r="S11" s="20"/>
      <c r="T11" s="20"/>
      <c r="U11" s="20"/>
      <c r="V11" s="20"/>
      <c r="W11" s="44"/>
      <c r="X11" s="43" t="s">
        <v>29</v>
      </c>
      <c r="Y11" s="55" t="s">
        <v>30</v>
      </c>
      <c r="Z11" s="56">
        <f>(H11-Z12)/2</f>
        <v>-2.065</v>
      </c>
      <c r="AA11" s="1"/>
      <c r="AB11" s="1"/>
      <c r="AC11" s="27" t="s">
        <v>31</v>
      </c>
      <c r="AD11" s="28">
        <f>AD10/((H10/H9)^3)*(5/32*(H11/H9-1)^2+1)</f>
        <v>25.2874009107775</v>
      </c>
      <c r="AE11" s="1"/>
      <c r="AF11" s="57">
        <v>0.525</v>
      </c>
      <c r="AG11" s="1"/>
      <c r="AH11" s="3" t="s">
        <v>32</v>
      </c>
      <c r="AL11" s="47"/>
    </row>
    <row r="12" customFormat="1" ht="33.6" customHeight="1" spans="1:38">
      <c r="A12" s="5"/>
      <c r="B12" s="6"/>
      <c r="C12" s="39" t="s">
        <v>174</v>
      </c>
      <c r="D12" s="39"/>
      <c r="E12" s="39"/>
      <c r="F12" s="39" t="s">
        <v>33</v>
      </c>
      <c r="G12" s="40" t="s">
        <v>34</v>
      </c>
      <c r="H12" s="58">
        <f>H13*0.75</f>
        <v>0.5775</v>
      </c>
      <c r="I12" s="42" t="s">
        <v>9</v>
      </c>
      <c r="J12" s="20"/>
      <c r="K12" s="20"/>
      <c r="L12" s="20"/>
      <c r="M12" s="20"/>
      <c r="N12" s="20"/>
      <c r="O12" s="20"/>
      <c r="P12" s="34"/>
      <c r="Q12" s="20"/>
      <c r="R12" s="20"/>
      <c r="S12" s="20"/>
      <c r="T12" s="20"/>
      <c r="U12" s="20"/>
      <c r="V12" s="20"/>
      <c r="W12" s="44"/>
      <c r="X12" s="43" t="s">
        <v>35</v>
      </c>
      <c r="Y12" s="55" t="s">
        <v>36</v>
      </c>
      <c r="Z12" s="59">
        <v>6.4</v>
      </c>
      <c r="AA12" s="1"/>
      <c r="AB12" s="1"/>
      <c r="AC12" s="27"/>
      <c r="AD12" s="27"/>
      <c r="AE12" s="1"/>
      <c r="AF12" s="2"/>
      <c r="AG12" s="1"/>
      <c r="AH12" s="3"/>
      <c r="AL12" s="47"/>
    </row>
    <row r="13" customFormat="1" ht="31.95" customHeight="1" spans="1:38">
      <c r="A13" s="5"/>
      <c r="B13" s="6"/>
      <c r="C13" s="39" t="s">
        <v>64</v>
      </c>
      <c r="D13" s="39"/>
      <c r="E13" s="39"/>
      <c r="F13" s="39" t="s">
        <v>37</v>
      </c>
      <c r="G13" s="54" t="s">
        <v>38</v>
      </c>
      <c r="H13" s="60">
        <f>H11-H10</f>
        <v>0.77</v>
      </c>
      <c r="I13" s="42" t="s">
        <v>9</v>
      </c>
      <c r="J13" s="20"/>
      <c r="K13" s="20"/>
      <c r="L13" s="20"/>
      <c r="M13" s="20"/>
      <c r="N13" s="20"/>
      <c r="O13" s="20"/>
      <c r="P13" s="34"/>
      <c r="Q13" s="20"/>
      <c r="R13" s="20"/>
      <c r="S13" s="20"/>
      <c r="T13" s="20"/>
      <c r="U13" s="20"/>
      <c r="V13" s="20"/>
      <c r="W13" s="44"/>
      <c r="X13" s="48" t="s">
        <v>39</v>
      </c>
      <c r="Y13" s="61" t="s">
        <v>40</v>
      </c>
      <c r="Z13" s="62">
        <f>SIN((G28*1.001)*PI()/180)</f>
        <v>0.147715479096813</v>
      </c>
      <c r="AA13" s="1"/>
      <c r="AB13" s="10"/>
      <c r="AC13" s="63" t="s">
        <v>41</v>
      </c>
      <c r="AD13" s="64">
        <v>0.3</v>
      </c>
      <c r="AE13" s="1"/>
      <c r="AF13" s="2" t="s">
        <v>42</v>
      </c>
      <c r="AG13" s="1"/>
      <c r="AH13" s="3"/>
      <c r="AL13" s="47"/>
    </row>
    <row r="14" customFormat="1" ht="50.4" customHeight="1" spans="1:38">
      <c r="A14" s="5"/>
      <c r="B14" s="6"/>
      <c r="C14" s="65" t="s">
        <v>175</v>
      </c>
      <c r="D14" s="65"/>
      <c r="E14" s="65"/>
      <c r="F14" s="65" t="s">
        <v>43</v>
      </c>
      <c r="G14" s="66" t="s">
        <v>44</v>
      </c>
      <c r="H14" s="67">
        <f>(4*G23/(1-AD13^2))*(H10^4/AD5/H7/H7)*(AD8^2)*(H12/H10)*((AD8^2)*(H13/H10-H12/H10)*(H13/H10-H12/2/H10)+1)*Z6</f>
        <v>4030.77142332422</v>
      </c>
      <c r="I14" s="68" t="s">
        <v>45</v>
      </c>
      <c r="J14" s="69" t="s">
        <v>176</v>
      </c>
      <c r="K14" s="13"/>
      <c r="L14" s="13"/>
      <c r="M14" s="13"/>
      <c r="N14" s="13"/>
      <c r="O14" s="13"/>
      <c r="P14" s="70"/>
      <c r="Q14" s="71"/>
      <c r="R14" s="71"/>
      <c r="S14" s="71"/>
      <c r="T14" s="71"/>
      <c r="U14" s="71"/>
      <c r="V14" s="71"/>
      <c r="W14" s="1"/>
      <c r="X14" s="72"/>
      <c r="Y14" s="73"/>
      <c r="Z14" s="73"/>
      <c r="AA14" s="73"/>
      <c r="AB14" s="73"/>
      <c r="AC14" s="74"/>
      <c r="AD14" s="74"/>
      <c r="AE14" s="73"/>
      <c r="AF14" s="75"/>
      <c r="AG14" s="73"/>
      <c r="AH14" s="3"/>
      <c r="AK14" s="76">
        <v>13.4</v>
      </c>
      <c r="AL14" s="47">
        <v>13.1</v>
      </c>
    </row>
    <row r="15" customFormat="1" ht="34.95" customHeight="1" spans="1:38">
      <c r="A15" s="5"/>
      <c r="B15" s="6"/>
      <c r="C15" s="77" t="s">
        <v>47</v>
      </c>
      <c r="D15" s="78"/>
      <c r="E15" s="78"/>
      <c r="F15" s="79"/>
      <c r="G15" s="80"/>
      <c r="H15" s="81"/>
      <c r="I15" s="82"/>
      <c r="J15" s="83"/>
      <c r="K15" s="20"/>
      <c r="L15" s="20"/>
      <c r="M15" s="20"/>
      <c r="N15" s="20"/>
      <c r="O15" s="20"/>
      <c r="P15" s="34"/>
      <c r="Q15" s="71"/>
      <c r="R15" s="71"/>
      <c r="S15" s="71"/>
      <c r="T15" s="71"/>
      <c r="U15" s="71"/>
      <c r="V15" s="71"/>
      <c r="W15" s="1"/>
      <c r="X15" s="84">
        <v>80</v>
      </c>
      <c r="Y15" s="73">
        <f>H12/H13</f>
        <v>0.75</v>
      </c>
      <c r="Z15" s="73"/>
      <c r="AA15" s="73"/>
      <c r="AB15" s="73"/>
      <c r="AC15" s="85"/>
      <c r="AD15" s="86"/>
      <c r="AE15" s="73"/>
      <c r="AF15" s="38"/>
      <c r="AG15" s="73"/>
      <c r="AH15" s="3"/>
      <c r="AK15" s="76">
        <v>138929.666790476</v>
      </c>
      <c r="AL15" s="87">
        <v>137096.745294997</v>
      </c>
    </row>
    <row r="16" customFormat="1" ht="36.6" customHeight="1" spans="1:38">
      <c r="A16" s="5"/>
      <c r="B16" s="6"/>
      <c r="C16" s="88" t="s">
        <v>177</v>
      </c>
      <c r="D16" s="88" t="s">
        <v>48</v>
      </c>
      <c r="E16" s="88"/>
      <c r="F16" s="88"/>
      <c r="G16" s="88"/>
      <c r="H16" s="89">
        <f>(-4*G23/(1-AD13^2))*(H10^2/AD5/H7/H7)*AD8*H12/H10*3/3.1415926</f>
        <v>-1643.06176694611</v>
      </c>
      <c r="I16" s="90" t="s">
        <v>50</v>
      </c>
      <c r="J16" s="91"/>
      <c r="K16" s="20"/>
      <c r="L16" s="20"/>
      <c r="M16" s="20"/>
      <c r="N16" s="20"/>
      <c r="O16" s="20"/>
      <c r="P16" s="34"/>
      <c r="Q16" s="71"/>
      <c r="R16" s="71"/>
      <c r="S16" s="71"/>
      <c r="T16" s="71"/>
      <c r="U16" s="71"/>
      <c r="V16" s="71"/>
      <c r="W16" s="1"/>
      <c r="X16" s="73"/>
      <c r="Y16" s="92"/>
      <c r="Z16" s="73"/>
      <c r="AA16" s="93"/>
      <c r="AB16" s="73"/>
      <c r="AC16" s="94"/>
      <c r="AD16" s="73"/>
      <c r="AE16" s="73"/>
      <c r="AF16" s="38"/>
      <c r="AG16" s="73"/>
      <c r="AH16" s="3"/>
      <c r="AL16" s="4"/>
    </row>
    <row r="17" customFormat="1" ht="33" customHeight="1" spans="1:38">
      <c r="A17" s="5"/>
      <c r="B17" s="6"/>
      <c r="C17" s="88" t="s">
        <v>178</v>
      </c>
      <c r="D17" s="88" t="s">
        <v>51</v>
      </c>
      <c r="E17" s="88"/>
      <c r="F17" s="88"/>
      <c r="G17" s="88"/>
      <c r="H17" s="89">
        <f>(-4*G23/(1-AD13^2))*(H10*H10/AD5/H7/H7)*AD8*H12/H10*(AD8*AD6*(H13/H10-H12/2/H10)+AD7)</f>
        <v>-2733.56272902816</v>
      </c>
      <c r="I17" s="90" t="s">
        <v>50</v>
      </c>
      <c r="J17" s="91"/>
      <c r="K17" s="20"/>
      <c r="L17" s="20"/>
      <c r="M17" s="20"/>
      <c r="N17" s="20"/>
      <c r="O17" s="20"/>
      <c r="P17" s="34"/>
      <c r="Q17" s="71"/>
      <c r="R17" s="71"/>
      <c r="S17" s="71"/>
      <c r="T17" s="71"/>
      <c r="U17" s="71"/>
      <c r="V17" s="71"/>
      <c r="W17" s="1"/>
      <c r="X17" s="73"/>
      <c r="Y17" s="95" t="s">
        <v>53</v>
      </c>
      <c r="Z17" s="96">
        <f>H7/H8</f>
        <v>1.61849710982659</v>
      </c>
      <c r="AA17" s="95" t="s">
        <v>54</v>
      </c>
      <c r="AB17" s="73"/>
      <c r="AC17" s="94" t="s">
        <v>55</v>
      </c>
      <c r="AD17" s="73">
        <v>9811</v>
      </c>
      <c r="AE17" s="73">
        <f>AD17*0.925</f>
        <v>9075.175</v>
      </c>
      <c r="AF17" s="38"/>
      <c r="AG17" s="73"/>
      <c r="AH17" s="3"/>
      <c r="AL17" s="4"/>
    </row>
    <row r="18" customFormat="1" ht="37.95" customHeight="1" spans="1:38">
      <c r="A18" s="5"/>
      <c r="B18" s="6"/>
      <c r="C18" s="88" t="s">
        <v>179</v>
      </c>
      <c r="D18" s="88" t="s">
        <v>56</v>
      </c>
      <c r="E18" s="88"/>
      <c r="F18" s="88"/>
      <c r="G18" s="88"/>
      <c r="H18" s="89">
        <f>(-4*G23/(1-AD13^2))*(H10*H10/AD5/H7/H7)*AD8*H12/H10*(AD8*AD6*(H13/H10-H12/2/H10)-AD7)</f>
        <v>1487.5511107847</v>
      </c>
      <c r="I18" s="90" t="s">
        <v>50</v>
      </c>
      <c r="J18" s="91"/>
      <c r="K18" s="20"/>
      <c r="L18" s="20"/>
      <c r="M18" s="20"/>
      <c r="N18" s="20"/>
      <c r="O18" s="20"/>
      <c r="P18" s="34"/>
      <c r="Q18" s="71"/>
      <c r="R18" s="71"/>
      <c r="S18" s="71"/>
      <c r="T18" s="71"/>
      <c r="U18" s="71"/>
      <c r="V18" s="71"/>
      <c r="W18" s="1"/>
      <c r="X18" s="72">
        <f>H12/H13</f>
        <v>0.75</v>
      </c>
      <c r="Y18" s="96" t="s">
        <v>58</v>
      </c>
      <c r="Z18" s="96">
        <f>H13/H9</f>
        <v>0.513333333333333</v>
      </c>
      <c r="AA18" s="96" t="s">
        <v>59</v>
      </c>
      <c r="AB18" s="73"/>
      <c r="AC18" s="94"/>
      <c r="AD18" s="73">
        <v>7680</v>
      </c>
      <c r="AE18" s="73">
        <v>7.46</v>
      </c>
      <c r="AF18" s="38"/>
      <c r="AG18" s="73"/>
      <c r="AH18" s="3"/>
      <c r="AL18" s="4"/>
    </row>
    <row r="19" customFormat="1" ht="34.95" customHeight="1" spans="1:38">
      <c r="A19" s="5"/>
      <c r="B19" s="6"/>
      <c r="C19" s="88" t="s">
        <v>180</v>
      </c>
      <c r="D19" s="88" t="s">
        <v>60</v>
      </c>
      <c r="E19" s="88"/>
      <c r="F19" s="88"/>
      <c r="G19" s="97" t="s">
        <v>61</v>
      </c>
      <c r="H19" s="89">
        <f>(-4*G23/(1-AD13^2))*(H10*H10/AD5/H7/H7)*AD8/AD9*H12/H10*(AD8*(AD6-2*AD7)*(H13/H10-H12/2/H10)-AD7)</f>
        <v>1755.84195803464</v>
      </c>
      <c r="I19" s="90" t="s">
        <v>62</v>
      </c>
      <c r="J19" s="91"/>
      <c r="K19" s="20"/>
      <c r="L19" s="20"/>
      <c r="M19" s="20"/>
      <c r="N19" s="20"/>
      <c r="O19" s="20"/>
      <c r="P19" s="34"/>
      <c r="Q19" s="71"/>
      <c r="R19" s="71"/>
      <c r="S19" s="71"/>
      <c r="T19" s="71"/>
      <c r="U19" s="71"/>
      <c r="V19" s="71"/>
      <c r="W19" s="1"/>
      <c r="X19" s="72"/>
      <c r="Y19" s="96" t="s">
        <v>63</v>
      </c>
      <c r="Z19" s="96">
        <v>4.5</v>
      </c>
      <c r="AA19" s="96" t="s">
        <v>64</v>
      </c>
      <c r="AB19" s="73"/>
      <c r="AC19" s="74"/>
      <c r="AD19" s="74"/>
      <c r="AE19" s="73"/>
      <c r="AF19" s="38"/>
      <c r="AG19" s="73"/>
      <c r="AH19" s="3"/>
      <c r="AL19" s="4"/>
    </row>
    <row r="20" customFormat="1" ht="38" customHeight="1" spans="1:38">
      <c r="A20" s="5"/>
      <c r="B20" s="6"/>
      <c r="C20" s="88" t="s">
        <v>181</v>
      </c>
      <c r="D20" s="88" t="s">
        <v>65</v>
      </c>
      <c r="E20" s="88"/>
      <c r="F20" s="88"/>
      <c r="G20" s="88"/>
      <c r="H20" s="89">
        <f>(-4*G23/(1-AD13^2))*(H10*H10/AD5/H7/H7)*AD8/AD9*H12/H10*(AD8*(AD6-2*AD7)*(H13/H10-H12/2/H10)+AD7)</f>
        <v>-852.203378706878</v>
      </c>
      <c r="I20" s="90" t="s">
        <v>62</v>
      </c>
      <c r="J20" s="91"/>
      <c r="K20" s="20"/>
      <c r="L20" s="20"/>
      <c r="M20" s="20"/>
      <c r="N20" s="20"/>
      <c r="O20" s="20"/>
      <c r="P20" s="34"/>
      <c r="Q20" s="71"/>
      <c r="R20" s="71"/>
      <c r="S20" s="71"/>
      <c r="T20" s="71"/>
      <c r="U20" s="71"/>
      <c r="V20" s="71"/>
      <c r="W20" s="1"/>
      <c r="X20" s="98">
        <v>7.6</v>
      </c>
      <c r="Y20" s="96" t="s">
        <v>67</v>
      </c>
      <c r="Z20" s="96">
        <f>Z19+H9</f>
        <v>6</v>
      </c>
      <c r="AA20" s="99" t="s">
        <v>68</v>
      </c>
      <c r="AB20" s="100"/>
      <c r="AC20" s="73" t="s">
        <v>69</v>
      </c>
      <c r="AD20" s="73" t="s">
        <v>70</v>
      </c>
      <c r="AE20" s="100">
        <f>1.5-1.35</f>
        <v>0.15</v>
      </c>
      <c r="AF20" s="101"/>
      <c r="AG20" s="100"/>
      <c r="AH20" s="3"/>
      <c r="AL20" s="4"/>
    </row>
    <row r="21" customFormat="1" ht="36.6" customHeight="1" spans="1:38">
      <c r="A21" s="5"/>
      <c r="B21" s="6"/>
      <c r="C21" s="102" t="s">
        <v>182</v>
      </c>
      <c r="D21" s="103" t="s">
        <v>71</v>
      </c>
      <c r="E21" s="103"/>
      <c r="F21" s="104"/>
      <c r="G21" s="105"/>
      <c r="H21" s="106"/>
      <c r="I21" s="82"/>
      <c r="J21" s="83"/>
      <c r="K21" s="20"/>
      <c r="L21" s="20"/>
      <c r="M21" s="20"/>
      <c r="N21" s="20"/>
      <c r="O21" s="20"/>
      <c r="P21" s="34"/>
      <c r="Q21" s="71"/>
      <c r="R21" s="71"/>
      <c r="S21" s="71"/>
      <c r="T21" s="71"/>
      <c r="U21" s="71"/>
      <c r="V21" s="71"/>
      <c r="W21" s="1"/>
      <c r="X21" s="98">
        <f>X20-6.84</f>
        <v>0.76</v>
      </c>
      <c r="Y21" s="107" t="s">
        <v>72</v>
      </c>
      <c r="Z21" s="107">
        <f>Z19/1.4</f>
        <v>3.21428571428571</v>
      </c>
      <c r="AA21" s="99" t="s">
        <v>73</v>
      </c>
      <c r="AB21" s="100"/>
      <c r="AC21" s="96">
        <v>260</v>
      </c>
      <c r="AD21" s="96">
        <v>16051</v>
      </c>
      <c r="AE21" s="100"/>
      <c r="AF21" s="100"/>
      <c r="AG21" s="108"/>
      <c r="AH21" s="109"/>
      <c r="AI21" s="110"/>
      <c r="AJ21" s="110"/>
      <c r="AK21" s="111"/>
      <c r="AL21" s="4"/>
    </row>
    <row r="22" customFormat="1" ht="35.4" customHeight="1" spans="1:38">
      <c r="A22" s="5"/>
      <c r="B22" s="6"/>
      <c r="C22" s="112" t="s">
        <v>183</v>
      </c>
      <c r="D22" s="113" t="s">
        <v>74</v>
      </c>
      <c r="E22" s="113"/>
      <c r="F22" s="114"/>
      <c r="G22" s="115" t="s">
        <v>75</v>
      </c>
      <c r="H22" s="115"/>
      <c r="I22" s="82"/>
      <c r="J22" s="83"/>
      <c r="K22" s="20"/>
      <c r="L22" s="20"/>
      <c r="M22" s="20"/>
      <c r="N22" s="20"/>
      <c r="O22" s="20"/>
      <c r="P22" s="34"/>
      <c r="Q22" s="71"/>
      <c r="R22" s="71"/>
      <c r="S22" s="71"/>
      <c r="T22" s="71"/>
      <c r="U22" s="71"/>
      <c r="V22" s="71"/>
      <c r="W22" s="1"/>
      <c r="X22" s="98">
        <f>X20-5.83</f>
        <v>1.77</v>
      </c>
      <c r="Y22" s="73"/>
      <c r="Z22" s="73"/>
      <c r="AA22" s="100"/>
      <c r="AB22" s="100"/>
      <c r="AC22" s="96">
        <v>255</v>
      </c>
      <c r="AD22" s="96">
        <v>16859</v>
      </c>
      <c r="AE22" s="100"/>
      <c r="AF22" s="116"/>
      <c r="AG22" s="108"/>
      <c r="AH22" s="109"/>
      <c r="AI22" s="110"/>
      <c r="AJ22" s="110"/>
      <c r="AK22" s="111"/>
      <c r="AL22" s="4"/>
    </row>
    <row r="23" customFormat="1" ht="36.6" customHeight="1" spans="1:38">
      <c r="A23" s="5"/>
      <c r="B23" s="6"/>
      <c r="C23" s="117" t="s">
        <v>184</v>
      </c>
      <c r="D23" s="118" t="s">
        <v>76</v>
      </c>
      <c r="E23" s="118"/>
      <c r="F23" s="119"/>
      <c r="G23" s="120">
        <v>206000</v>
      </c>
      <c r="H23" s="121"/>
      <c r="I23" s="122" t="s">
        <v>77</v>
      </c>
      <c r="J23" s="83"/>
      <c r="K23" s="20"/>
      <c r="L23" s="20"/>
      <c r="M23" s="20"/>
      <c r="N23" s="20"/>
      <c r="O23" s="20"/>
      <c r="P23" s="34"/>
      <c r="Q23" s="71"/>
      <c r="R23" s="71"/>
      <c r="S23" s="71"/>
      <c r="T23" s="71"/>
      <c r="U23" s="71"/>
      <c r="V23" s="71"/>
      <c r="W23" s="1"/>
      <c r="X23" s="73"/>
      <c r="Y23" s="73">
        <v>-482.008054302415</v>
      </c>
      <c r="Z23" s="73">
        <v>-696.2338562146</v>
      </c>
      <c r="AA23" s="100"/>
      <c r="AB23" s="100"/>
      <c r="AC23" s="96">
        <v>250</v>
      </c>
      <c r="AD23" s="96">
        <v>17736</v>
      </c>
      <c r="AE23" s="100"/>
      <c r="AF23" s="100"/>
      <c r="AG23" s="108"/>
      <c r="AH23" s="109"/>
      <c r="AI23" s="123"/>
      <c r="AJ23" s="123"/>
      <c r="AL23" s="4"/>
    </row>
    <row r="24" customFormat="1" ht="40.2" customHeight="1" spans="1:38">
      <c r="A24" s="5"/>
      <c r="B24" s="6"/>
      <c r="C24" s="124" t="s">
        <v>185</v>
      </c>
      <c r="D24" s="125" t="s">
        <v>78</v>
      </c>
      <c r="E24" s="125"/>
      <c r="F24" s="126"/>
      <c r="G24" s="127">
        <v>25</v>
      </c>
      <c r="H24" s="128"/>
      <c r="I24" s="126" t="str">
        <f>$H$312</f>
        <v>°C</v>
      </c>
      <c r="J24" s="83"/>
      <c r="K24" s="33"/>
      <c r="L24" s="33"/>
      <c r="M24" s="20"/>
      <c r="N24" s="20"/>
      <c r="O24" s="20"/>
      <c r="P24" s="34"/>
      <c r="Q24" s="71"/>
      <c r="R24" s="71"/>
      <c r="S24" s="71"/>
      <c r="T24" s="71"/>
      <c r="U24" s="71"/>
      <c r="V24" s="71"/>
      <c r="W24" s="1"/>
      <c r="X24" s="129"/>
      <c r="Y24" s="73">
        <v>-1118.94431224061</v>
      </c>
      <c r="Z24" s="73">
        <v>-1462.40307051252</v>
      </c>
      <c r="AA24" s="73"/>
      <c r="AB24" s="100"/>
      <c r="AC24" s="96">
        <v>245</v>
      </c>
      <c r="AD24" s="96">
        <v>18692</v>
      </c>
      <c r="AE24" s="100"/>
      <c r="AF24" s="100"/>
      <c r="AG24" s="108"/>
      <c r="AH24" s="109"/>
      <c r="AI24" s="123"/>
      <c r="AJ24" s="123"/>
      <c r="AL24" s="4"/>
    </row>
    <row r="25" customFormat="1" ht="45" customHeight="1" spans="1:38">
      <c r="A25" s="5"/>
      <c r="B25" s="6"/>
      <c r="C25" s="130" t="s">
        <v>186</v>
      </c>
      <c r="D25" s="131"/>
      <c r="E25" s="131"/>
      <c r="F25" s="132"/>
      <c r="G25" s="132"/>
      <c r="H25" s="132"/>
      <c r="I25" s="133"/>
      <c r="J25" s="91"/>
      <c r="K25" s="33"/>
      <c r="L25" s="33"/>
      <c r="M25" s="20"/>
      <c r="N25" s="20"/>
      <c r="O25" s="20"/>
      <c r="P25" s="34"/>
      <c r="Q25" s="71"/>
      <c r="R25" s="71"/>
      <c r="S25" s="71"/>
      <c r="T25" s="71"/>
      <c r="U25" s="71"/>
      <c r="V25" s="71"/>
      <c r="W25" s="1"/>
      <c r="X25" s="129"/>
      <c r="Y25" s="73">
        <v>0.574430901433381</v>
      </c>
      <c r="Z25" s="129">
        <v>154.679558470422</v>
      </c>
      <c r="AA25" s="73"/>
      <c r="AB25" s="100"/>
      <c r="AC25" s="134">
        <v>240</v>
      </c>
      <c r="AD25" s="96">
        <v>19738</v>
      </c>
      <c r="AE25" s="100"/>
      <c r="AF25" s="100"/>
      <c r="AG25" s="108"/>
      <c r="AH25" s="109"/>
      <c r="AI25" s="123"/>
      <c r="AJ25" s="123"/>
      <c r="AL25" s="4"/>
    </row>
    <row r="26" customFormat="1" ht="46.2" customHeight="1" spans="1:38">
      <c r="A26" s="5"/>
      <c r="B26" s="6"/>
      <c r="C26" s="135" t="s">
        <v>80</v>
      </c>
      <c r="D26" s="136"/>
      <c r="E26" s="136"/>
      <c r="F26" s="137"/>
      <c r="G26" s="138" t="s">
        <v>81</v>
      </c>
      <c r="H26" s="139" t="s">
        <v>82</v>
      </c>
      <c r="I26" s="140" t="s">
        <v>83</v>
      </c>
      <c r="J26" s="91"/>
      <c r="K26" s="20"/>
      <c r="L26" s="20"/>
      <c r="M26" s="20"/>
      <c r="N26" s="20"/>
      <c r="O26" s="20"/>
      <c r="P26" s="34"/>
      <c r="Q26" s="71"/>
      <c r="R26" s="71"/>
      <c r="S26" s="71"/>
      <c r="T26" s="71"/>
      <c r="U26" s="71"/>
      <c r="V26" s="71"/>
      <c r="W26" s="1"/>
      <c r="X26" s="73"/>
      <c r="Y26" s="73">
        <v>878.25806207398</v>
      </c>
      <c r="Z26" s="129">
        <v>1141.96694227104</v>
      </c>
      <c r="AA26" s="73"/>
      <c r="AB26" s="141"/>
      <c r="AC26" s="134">
        <v>235</v>
      </c>
      <c r="AD26" s="96">
        <v>20887</v>
      </c>
      <c r="AE26" s="142"/>
      <c r="AF26" s="100"/>
      <c r="AG26" s="108"/>
      <c r="AH26" s="109"/>
      <c r="AI26" s="123"/>
      <c r="AJ26" s="123"/>
      <c r="AL26" s="4"/>
    </row>
    <row r="27" customFormat="1" ht="36.6" customHeight="1" spans="1:38">
      <c r="A27" s="5"/>
      <c r="B27" s="6"/>
      <c r="C27" s="143">
        <f>(-4*G23/(1-AD13^2))*(H10^2/AD5/H7/H7)*AD8*H13/H10*3/3.1415926</f>
        <v>-2190.74902259482</v>
      </c>
      <c r="D27" s="144"/>
      <c r="E27" s="144"/>
      <c r="F27" s="145"/>
      <c r="G27" s="146">
        <f>(-4*G23/(1-AD13^2))*(H10*H10/AD5/H7/H7)*AD8*H13/H10*(AD8*AD6*(H13/H10-H13/2/H10)+AD7)</f>
        <v>-3478.61542293842</v>
      </c>
      <c r="H27" s="147">
        <f>(-4*G23/(1-AD13^2))*(H10*H10/AD5/H7/H7)*AD8*H13/H10*(AD8*AD6*(H13/H10-H13/2/H10)-AD7)</f>
        <v>2149.53636347873</v>
      </c>
      <c r="I27" s="148">
        <f>(-4*G23/(1-AD13^2))*(H10*H10/AD5/H7/H7)*AD8/AD9*H13/H10*(AD8*(AD6-2*AD7)*(H13/H10-H13/2/H10)-AD7)</f>
        <v>2220.63746680249</v>
      </c>
      <c r="J27" s="91"/>
      <c r="K27" s="149" t="s">
        <v>187</v>
      </c>
      <c r="L27" s="149"/>
      <c r="M27" s="149"/>
      <c r="N27" s="149"/>
      <c r="O27" s="149"/>
      <c r="P27" s="34"/>
      <c r="Q27" s="71"/>
      <c r="R27" s="71"/>
      <c r="S27" s="71"/>
      <c r="T27" s="71"/>
      <c r="U27" s="71"/>
      <c r="V27" s="71"/>
      <c r="W27" s="1"/>
      <c r="Y27" s="73">
        <v>42.2303555017773</v>
      </c>
      <c r="Z27" s="73">
        <v>-65.6286338888067</v>
      </c>
      <c r="AA27" s="73"/>
      <c r="AB27" s="100"/>
      <c r="AC27" s="96">
        <v>230</v>
      </c>
      <c r="AD27" s="96">
        <v>22152</v>
      </c>
      <c r="AE27" s="101"/>
      <c r="AF27" s="100"/>
      <c r="AG27" s="108"/>
      <c r="AH27" s="109"/>
      <c r="AI27" s="123"/>
      <c r="AJ27" s="123"/>
      <c r="AL27" s="4"/>
    </row>
    <row r="28" customFormat="1" ht="43.95" customHeight="1" spans="1:38">
      <c r="A28" s="5"/>
      <c r="B28" s="6"/>
      <c r="C28" s="150" t="s">
        <v>188</v>
      </c>
      <c r="D28" s="151"/>
      <c r="E28" s="151" t="s">
        <v>85</v>
      </c>
      <c r="F28" s="152"/>
      <c r="G28" s="153">
        <f>180/3.1415926*ATAN(2*($H$256-$H$254*COS(ATAN(2*$H$274/($H$251-$H$252))))/($H$251-$H$252-2*$H$254*SIN(ATAN(2*$H$274/($H$251-$H$252)))))</f>
        <v>8.4860722851158</v>
      </c>
      <c r="H28" s="154" t="s">
        <v>86</v>
      </c>
      <c r="I28" s="155"/>
      <c r="J28" s="152" t="s">
        <v>189</v>
      </c>
      <c r="K28" s="153">
        <f>$X$351+2*(($H$7-$X$351)/2-$H$271/2*SIN($G$28/180*3.1415926))/COS($G$28/180*3.1415926)</f>
        <v>27.8401519253803</v>
      </c>
      <c r="L28" s="152" t="s">
        <v>9</v>
      </c>
      <c r="M28" s="155"/>
      <c r="N28" s="152" t="s">
        <v>190</v>
      </c>
      <c r="O28" s="153">
        <f>$X$351-2*((($X$351-$H$8)/2-$H$271/2*SIN($G$28/180*3.1415926))/COS($G$28/180*3.1415926))</f>
        <v>17.4693165488684</v>
      </c>
      <c r="P28" s="156" t="s">
        <v>9</v>
      </c>
      <c r="Q28" s="157"/>
      <c r="R28" s="157"/>
      <c r="S28" s="157"/>
      <c r="T28" s="157"/>
      <c r="U28" s="157"/>
      <c r="V28" s="157"/>
      <c r="W28" s="1"/>
      <c r="X28" s="101"/>
      <c r="Y28" s="158"/>
      <c r="Z28" s="73"/>
      <c r="AA28" s="73"/>
      <c r="AB28" s="100"/>
      <c r="AC28" s="96">
        <v>225</v>
      </c>
      <c r="AD28" s="96">
        <v>23552</v>
      </c>
      <c r="AE28" s="100"/>
      <c r="AF28" s="108"/>
      <c r="AG28" s="108"/>
      <c r="AH28" s="109"/>
      <c r="AI28" s="123"/>
      <c r="AJ28" s="123"/>
      <c r="AL28" s="4"/>
    </row>
    <row r="29" customFormat="1" ht="45.6" customHeight="1" spans="1:38">
      <c r="A29" s="5"/>
      <c r="B29" s="6"/>
      <c r="C29" s="159" t="s">
        <v>191</v>
      </c>
      <c r="D29" s="160"/>
      <c r="E29" s="160" t="s">
        <v>89</v>
      </c>
      <c r="F29" s="161"/>
      <c r="G29" s="162">
        <v>1</v>
      </c>
      <c r="H29" s="163" t="s">
        <v>90</v>
      </c>
      <c r="I29" s="164"/>
      <c r="J29" s="165" t="s">
        <v>192</v>
      </c>
      <c r="K29" s="162">
        <v>1</v>
      </c>
      <c r="L29" s="166" t="s">
        <v>193</v>
      </c>
      <c r="M29" s="164"/>
      <c r="N29" s="91" t="s">
        <v>194</v>
      </c>
      <c r="O29" s="167">
        <f>(H11+(G29-1)*H10)*K29</f>
        <v>2.27</v>
      </c>
      <c r="P29" s="168" t="s">
        <v>9</v>
      </c>
      <c r="Q29" s="169"/>
      <c r="R29" s="169"/>
      <c r="S29" s="169"/>
      <c r="T29" s="169"/>
      <c r="U29" s="169"/>
      <c r="V29" s="169"/>
      <c r="W29" s="1"/>
      <c r="X29" s="101"/>
      <c r="Y29" s="73"/>
      <c r="Z29" s="73"/>
      <c r="AA29" s="73"/>
      <c r="AB29" s="74"/>
      <c r="AC29" s="96">
        <v>220</v>
      </c>
      <c r="AD29" s="96">
        <v>25110</v>
      </c>
      <c r="AE29" s="75"/>
      <c r="AF29" s="170"/>
      <c r="AG29" s="73"/>
      <c r="AH29" s="3"/>
      <c r="AL29" s="4"/>
    </row>
    <row r="30" customFormat="1" ht="37.2" customHeight="1" spans="1:38">
      <c r="A30" s="5"/>
      <c r="B30" s="6"/>
      <c r="C30" s="171" t="s">
        <v>195</v>
      </c>
      <c r="D30" s="172"/>
      <c r="E30" s="172" t="s">
        <v>94</v>
      </c>
      <c r="F30" s="173"/>
      <c r="G30" s="174">
        <v>0</v>
      </c>
      <c r="H30" s="174">
        <v>0.1</v>
      </c>
      <c r="I30" s="174">
        <v>0.1995</v>
      </c>
      <c r="J30" s="175">
        <v>0.3</v>
      </c>
      <c r="K30" s="175">
        <v>0.4</v>
      </c>
      <c r="L30" s="175">
        <v>0.5</v>
      </c>
      <c r="M30" s="176">
        <v>0.6</v>
      </c>
      <c r="N30" s="177">
        <v>0.8</v>
      </c>
      <c r="O30" s="178">
        <v>0.9</v>
      </c>
      <c r="P30" s="179">
        <v>1</v>
      </c>
      <c r="Q30" s="180"/>
      <c r="R30" s="180"/>
      <c r="S30" s="180"/>
      <c r="T30" s="180"/>
      <c r="U30" s="180"/>
      <c r="V30" s="180"/>
      <c r="W30" s="1"/>
      <c r="X30" s="73"/>
      <c r="Y30" s="99">
        <v>1903</v>
      </c>
      <c r="Z30" s="96">
        <v>2155</v>
      </c>
      <c r="AA30" s="181">
        <f t="shared" ref="AA30:AA32" si="0">Z30/Y30-1</f>
        <v>0.132422490803994</v>
      </c>
      <c r="AB30" s="73"/>
      <c r="AC30" s="96">
        <v>215</v>
      </c>
      <c r="AD30" s="96">
        <v>26851</v>
      </c>
      <c r="AE30" s="73"/>
      <c r="AF30" s="170"/>
      <c r="AG30" s="73"/>
      <c r="AH30" s="3"/>
      <c r="AL30" s="4"/>
    </row>
    <row r="31" customFormat="1" ht="33.6" customHeight="1" spans="1:38">
      <c r="A31" s="5"/>
      <c r="B31" s="6"/>
      <c r="C31" s="182" t="s">
        <v>196</v>
      </c>
      <c r="D31" s="183"/>
      <c r="E31" s="183" t="s">
        <v>95</v>
      </c>
      <c r="F31" s="184"/>
      <c r="G31" s="185">
        <v>0</v>
      </c>
      <c r="H31" s="185">
        <f t="shared" ref="H31:P31" si="1">$H$13*H30</f>
        <v>0.077</v>
      </c>
      <c r="I31" s="186">
        <f t="shared" si="1"/>
        <v>0.153615</v>
      </c>
      <c r="J31" s="187">
        <f t="shared" si="1"/>
        <v>0.231</v>
      </c>
      <c r="K31" s="188">
        <f t="shared" si="1"/>
        <v>0.308</v>
      </c>
      <c r="L31" s="188">
        <f t="shared" si="1"/>
        <v>0.385</v>
      </c>
      <c r="M31" s="185">
        <f t="shared" si="1"/>
        <v>0.462</v>
      </c>
      <c r="N31" s="185">
        <f t="shared" si="1"/>
        <v>0.616</v>
      </c>
      <c r="O31" s="185">
        <f t="shared" si="1"/>
        <v>0.693</v>
      </c>
      <c r="P31" s="189">
        <f t="shared" si="1"/>
        <v>0.77</v>
      </c>
      <c r="Q31" s="190"/>
      <c r="R31" s="190"/>
      <c r="S31" s="190"/>
      <c r="T31" s="190"/>
      <c r="U31" s="190"/>
      <c r="V31" s="190"/>
      <c r="W31" s="10"/>
      <c r="X31" s="191"/>
      <c r="Y31" s="99">
        <v>2716</v>
      </c>
      <c r="Z31" s="27">
        <v>2827</v>
      </c>
      <c r="AA31" s="181">
        <f t="shared" si="0"/>
        <v>0.0408689248895435</v>
      </c>
      <c r="AB31" s="74"/>
      <c r="AC31" s="27">
        <v>210</v>
      </c>
      <c r="AD31" s="27">
        <v>28808</v>
      </c>
      <c r="AE31" s="73"/>
      <c r="AF31" s="75"/>
      <c r="AG31" s="73"/>
      <c r="AH31" s="3"/>
      <c r="AL31" s="4"/>
    </row>
    <row r="32" customFormat="1" ht="36" customHeight="1" spans="1:38">
      <c r="A32" s="5"/>
      <c r="B32" s="6"/>
      <c r="C32" s="182" t="s">
        <v>197</v>
      </c>
      <c r="D32" s="183"/>
      <c r="E32" s="183" t="s">
        <v>96</v>
      </c>
      <c r="F32" s="184"/>
      <c r="G32" s="192">
        <f t="shared" ref="G32:P32" si="2">G31*$K$29</f>
        <v>0</v>
      </c>
      <c r="H32" s="192">
        <f t="shared" si="2"/>
        <v>0.077</v>
      </c>
      <c r="I32" s="186">
        <f t="shared" si="2"/>
        <v>0.153615</v>
      </c>
      <c r="J32" s="193">
        <f t="shared" si="2"/>
        <v>0.231</v>
      </c>
      <c r="K32" s="188">
        <f t="shared" si="2"/>
        <v>0.308</v>
      </c>
      <c r="L32" s="188">
        <f t="shared" si="2"/>
        <v>0.385</v>
      </c>
      <c r="M32" s="185">
        <f t="shared" si="2"/>
        <v>0.462</v>
      </c>
      <c r="N32" s="192">
        <f t="shared" si="2"/>
        <v>0.616</v>
      </c>
      <c r="O32" s="192">
        <f t="shared" si="2"/>
        <v>0.693</v>
      </c>
      <c r="P32" s="194">
        <f t="shared" si="2"/>
        <v>0.77</v>
      </c>
      <c r="Q32" s="190"/>
      <c r="R32" s="190"/>
      <c r="S32" s="190"/>
      <c r="T32" s="190"/>
      <c r="U32" s="190"/>
      <c r="V32" s="190"/>
      <c r="W32" s="10"/>
      <c r="X32" s="195"/>
      <c r="Y32" s="99">
        <v>3400</v>
      </c>
      <c r="Z32" s="27">
        <v>3345</v>
      </c>
      <c r="AA32" s="181">
        <f t="shared" si="0"/>
        <v>-0.0161764705882353</v>
      </c>
      <c r="AB32" s="74"/>
      <c r="AC32" s="74"/>
      <c r="AD32" s="74"/>
      <c r="AE32" s="4"/>
      <c r="AF32" s="196"/>
      <c r="AG32" s="4"/>
      <c r="AH32" s="3"/>
      <c r="AL32" s="4"/>
    </row>
    <row r="33" customFormat="1" ht="39.6" customHeight="1" spans="1:38">
      <c r="A33" s="5"/>
      <c r="B33" s="6"/>
      <c r="C33" s="197" t="s">
        <v>198</v>
      </c>
      <c r="D33" s="198"/>
      <c r="E33" s="198" t="s">
        <v>97</v>
      </c>
      <c r="F33" s="199"/>
      <c r="G33" s="200">
        <f t="shared" ref="G33:P33" si="3">$O$29-G32</f>
        <v>2.27</v>
      </c>
      <c r="H33" s="200">
        <f t="shared" si="3"/>
        <v>2.193</v>
      </c>
      <c r="I33" s="200">
        <f t="shared" si="3"/>
        <v>2.116385</v>
      </c>
      <c r="J33" s="201">
        <f t="shared" si="3"/>
        <v>2.039</v>
      </c>
      <c r="K33" s="201">
        <f t="shared" si="3"/>
        <v>1.962</v>
      </c>
      <c r="L33" s="201">
        <f t="shared" si="3"/>
        <v>1.885</v>
      </c>
      <c r="M33" s="200">
        <f t="shared" si="3"/>
        <v>1.808</v>
      </c>
      <c r="N33" s="200">
        <f t="shared" si="3"/>
        <v>1.654</v>
      </c>
      <c r="O33" s="200">
        <f t="shared" si="3"/>
        <v>1.577</v>
      </c>
      <c r="P33" s="202">
        <f t="shared" si="3"/>
        <v>1.5</v>
      </c>
      <c r="Q33" s="203"/>
      <c r="R33" s="203"/>
      <c r="S33" s="203"/>
      <c r="T33" s="203"/>
      <c r="U33" s="203"/>
      <c r="V33" s="203"/>
      <c r="W33" s="10"/>
      <c r="X33" s="191"/>
      <c r="Y33" s="204"/>
      <c r="Z33" s="205"/>
      <c r="AA33" s="74"/>
      <c r="AB33" s="74"/>
      <c r="AC33" s="74"/>
      <c r="AD33" s="74"/>
      <c r="AE33" s="4"/>
      <c r="AF33" s="196"/>
      <c r="AG33" s="4"/>
      <c r="AH33" s="3"/>
      <c r="AL33" s="4"/>
    </row>
    <row r="34" customFormat="1" ht="36" customHeight="1" spans="1:38">
      <c r="A34" s="5"/>
      <c r="B34" s="6"/>
      <c r="C34" s="206" t="s">
        <v>199</v>
      </c>
      <c r="D34" s="207"/>
      <c r="E34" s="207" t="s">
        <v>98</v>
      </c>
      <c r="F34" s="208"/>
      <c r="G34" s="209">
        <f>((4*$G$23/(1-$AD$13^2))*($H$10^4/$AD$5/$H$7/$H$7)*($AD$8^2)*(G31/$H$10)*(($AD$8^2)*($H$13/$H$10-G31/$H$10)*($H$13/$H$10-G31/2/$H$10)+1))*$G$29*Z7*Z6</f>
        <v>0</v>
      </c>
      <c r="H34" s="210">
        <f>((4*$G$23/(1-$AD$13^2))*($H$10^4/$AD$5/$H$7/$H$7)*($AD$8^2)*(H31/$H$10)*(($AD$8^2)*($H$13/$H$10-H31/$H$10)*($H$13/$H$10-H31/2/$H$10)+1))*$G$29*Z6</f>
        <v>632.480146613441</v>
      </c>
      <c r="I34" s="210">
        <f>((4*$G$23/(1-$AD$13^2))*($H$10^4/$AD$5/$H$7/$H$7)*($AD$8^2)*(I31/$H$10)*(($AD$8^2)*($H$13/$H$10-I31/$H$10)*($H$13/$H$10-I31/2/$H$10)+1))*$G$29*Z6</f>
        <v>1225.34073081585</v>
      </c>
      <c r="J34" s="211">
        <f>((4*$G$23/(1-$AD$13^2))*($H$10^4/$AD$5/$H$7/$H$7)*($AD$8^2)*(J31/$H$10)*(($AD$8^2)*($H$13/$H$10-J31/$H$10)*($H$13/$H$10-J31/2/$H$10)+1))*$G$29*Z6</f>
        <v>1791.34486011544</v>
      </c>
      <c r="K34" s="211">
        <f>((4*$G$23/(1-$AD$13^2))*($H$10^4/$AD$5/$H$7/$H$7)*($AD$8^2)*(K31/$H$10)*(($AD$8^2)*($H$13/$H$10-K31/$H$10)*($H$13/$H$10-K31/2/$H$10)+1))*$G$29*Z6</f>
        <v>2325.89062544437</v>
      </c>
      <c r="L34" s="211">
        <f>((4*$G$23/(1-$AD$13^2))*($H$10^4/$AD$5/$H$7/$H$7)*($AD$8^2)*(L31/$H$10)*(($AD$8^2)*($H$13/$H$10-L31/$H$10)*($H$13/$H$10-L31/2/$H$10)+1))*$G$29*Z6</f>
        <v>2835.95279545217</v>
      </c>
      <c r="M34" s="210">
        <f>((4*$G$23/(1-$AD$13^2))*($H$10^4/$AD$5/$H$7/$H$7)*($AD$8^2)*(M31/$H$10)*(($AD$8^2)*($H$13/$H$10-M31/$H$10)*($H$13/$H$10-M31/2/$H$10)+1))*$G$29*Z6</f>
        <v>3325.61196935903</v>
      </c>
      <c r="N34" s="210">
        <f>((4*$G$23/(1-$AD$13^2))*($H$10^4/$AD$5/$H$7/$H$7)*($AD$8^2)*(N31/$H$10)*(($AD$8^2)*($H$13/$H$10-N31/$H$10)*($H$13/$H$10-N31/2/$H$10)+1))*$G$29*Z6</f>
        <v>4260.04372575068</v>
      </c>
      <c r="O34" s="210">
        <f>((4*$G$23/(1-$AD$13^2))*($H$10^4/$AD$5/$H$7/$H$7)*($AD$8^2)*(O31/$H$10)*(($AD$8^2)*($H$13/$H$10-O31/$H$10)*($H$13/$H$10-O31/2/$H$10)+1))*$G$29*Z6</f>
        <v>4712.97750667585</v>
      </c>
      <c r="P34" s="212">
        <f>((4*$G$23/(1-$AD$13^2))*($H$10^4/$AD$5/$H$7/$H$7)*($AD$8^2)*(P31/$H$10)*(($AD$8^2)*($H$13/$H$10-P31/$H$10)*($H$13/$H$10-P31/2/$H$10)+1))*$G$29*Z6</f>
        <v>5161.83068838083</v>
      </c>
      <c r="Q34" s="213"/>
      <c r="R34" s="213"/>
      <c r="S34" s="213"/>
      <c r="T34" s="213"/>
      <c r="U34" s="213"/>
      <c r="V34" s="213"/>
      <c r="W34" s="10"/>
      <c r="X34" s="191"/>
      <c r="Y34" s="204"/>
      <c r="Z34" s="74"/>
      <c r="AA34" s="74"/>
      <c r="AB34" s="74"/>
      <c r="AC34" s="74"/>
      <c r="AD34" s="74"/>
      <c r="AE34" s="4"/>
      <c r="AF34" s="214"/>
      <c r="AG34" s="4"/>
      <c r="AH34" s="3"/>
      <c r="AL34" s="4"/>
    </row>
    <row r="35" customFormat="1" ht="36" hidden="1" customHeight="1" spans="1:38">
      <c r="A35" s="5"/>
      <c r="B35" s="6"/>
      <c r="C35" s="206" t="s">
        <v>200</v>
      </c>
      <c r="D35" s="207"/>
      <c r="E35" s="207" t="s">
        <v>99</v>
      </c>
      <c r="F35" s="208"/>
      <c r="G35" s="209">
        <f t="shared" ref="G35:P35" si="4">G34/1000</f>
        <v>0</v>
      </c>
      <c r="H35" s="209">
        <f t="shared" si="4"/>
        <v>0.632480146613441</v>
      </c>
      <c r="I35" s="209">
        <f t="shared" si="4"/>
        <v>1.22534073081585</v>
      </c>
      <c r="J35" s="215">
        <f t="shared" si="4"/>
        <v>1.79134486011544</v>
      </c>
      <c r="K35" s="215">
        <f t="shared" si="4"/>
        <v>2.32589062544437</v>
      </c>
      <c r="L35" s="215">
        <f t="shared" si="4"/>
        <v>2.83595279545217</v>
      </c>
      <c r="M35" s="209">
        <f t="shared" si="4"/>
        <v>3.32561196935903</v>
      </c>
      <c r="N35" s="216">
        <f t="shared" si="4"/>
        <v>4.26004372575068</v>
      </c>
      <c r="O35" s="209">
        <f t="shared" si="4"/>
        <v>4.71297750667585</v>
      </c>
      <c r="P35" s="217">
        <f t="shared" si="4"/>
        <v>5.16183068838083</v>
      </c>
      <c r="Q35" s="213"/>
      <c r="R35" s="213"/>
      <c r="S35" s="213"/>
      <c r="T35" s="213"/>
      <c r="U35" s="213"/>
      <c r="V35" s="213"/>
      <c r="W35" s="10"/>
      <c r="X35" s="191"/>
      <c r="Y35" s="204"/>
      <c r="Z35" s="74"/>
      <c r="AA35" s="218"/>
      <c r="AB35" s="74"/>
      <c r="AC35" s="74"/>
      <c r="AD35" s="74"/>
      <c r="AE35" s="4"/>
      <c r="AF35" s="214"/>
      <c r="AG35" s="4"/>
      <c r="AH35" s="3"/>
      <c r="AL35" s="4"/>
    </row>
    <row r="36" customFormat="1" ht="37" customHeight="1" spans="1:38">
      <c r="A36" s="5"/>
      <c r="B36" s="6"/>
      <c r="C36" s="206" t="s">
        <v>201</v>
      </c>
      <c r="D36" s="207"/>
      <c r="E36" s="207" t="s">
        <v>100</v>
      </c>
      <c r="F36" s="208"/>
      <c r="G36" s="210">
        <f>($H$7-$H$8)/(($H$7-$H$8)-3*$Z$7)*((4*$G$23/(1-$AD$13^2))*($H$10^3/$AD$5/$H$7/$H$7)*$AD$8*$AD$8*(($AD$8^2)*(($H$13/$H$10)^2-3*($H$13/$H$10)*(G31/$H$10)+1.5*(G31/$H$10)^2)+1))*G29/K29</f>
        <v>8470.16938758896</v>
      </c>
      <c r="H36" s="210">
        <f t="shared" ref="H36:P36" si="5">($H$7-$H$8)/(($H$7-$H$8)-3*$Z$7)*((4*$G$23/(1-$AD$13^2))*($H$10^3/$AD$5/$H$7/$H$7)*$AD$8*$AD$8*(($AD$8^2)*(($H$13/$H$10)^2-3*($H$13/$H$10)*(H31/$H$10)+1.5*(H31/$H$10)^2)+1))*$G$29/$K$29</f>
        <v>7966.71883444888</v>
      </c>
      <c r="I36" s="210">
        <f t="shared" si="5"/>
        <v>7518.38353061381</v>
      </c>
      <c r="J36" s="211">
        <f t="shared" si="5"/>
        <v>7118.80211337086</v>
      </c>
      <c r="K36" s="211">
        <f t="shared" si="5"/>
        <v>6774.33594543291</v>
      </c>
      <c r="L36" s="211">
        <f t="shared" si="5"/>
        <v>6482.86457256234</v>
      </c>
      <c r="M36" s="210">
        <f t="shared" si="5"/>
        <v>6244.38799475914</v>
      </c>
      <c r="N36" s="219">
        <f t="shared" si="5"/>
        <v>5926.41922435488</v>
      </c>
      <c r="O36" s="210">
        <f t="shared" si="5"/>
        <v>5846.92703175382</v>
      </c>
      <c r="P36" s="212">
        <f t="shared" si="5"/>
        <v>5820.42963422013</v>
      </c>
      <c r="Q36" s="213"/>
      <c r="R36" s="213"/>
      <c r="S36" s="213"/>
      <c r="T36" s="213"/>
      <c r="U36" s="213"/>
      <c r="V36" s="213"/>
      <c r="W36" s="10"/>
      <c r="X36" s="191"/>
      <c r="Y36" s="204"/>
      <c r="Z36" s="74"/>
      <c r="AA36" s="74"/>
      <c r="AB36" s="74"/>
      <c r="AC36" s="74"/>
      <c r="AD36" s="74"/>
      <c r="AE36" s="4"/>
      <c r="AF36" s="214"/>
      <c r="AG36" s="4"/>
      <c r="AH36" s="3"/>
      <c r="AL36" s="4"/>
    </row>
    <row r="37" customFormat="1" ht="39" hidden="1" customHeight="1" spans="1:38">
      <c r="A37" s="5"/>
      <c r="B37" s="6"/>
      <c r="C37" s="220" t="s">
        <v>101</v>
      </c>
      <c r="D37" s="221"/>
      <c r="E37" s="221"/>
      <c r="F37" s="222"/>
      <c r="G37" s="215">
        <f>($H$7-$H$8)/(($H$7-$H$8)-3*$Z$7)*((4*$G$23/(1-$AD$13^2))*($H$10^3/$AD$5/$H$7/$H$7)*$AD$8*$AD$8*(($AD$8^2)*(($H$13/$H$10)^2-3*($H$13/$H$10)*(G31/$H$10)+1.5*(G31/$H$10)^2)+1))/1000*G29/K29</f>
        <v>8.47016938758896</v>
      </c>
      <c r="H37" s="215">
        <f t="shared" ref="H37:P37" si="6">($H$7-$H$8)/(($H$7-$H$8)-3*$Z$7)*((4*$G$23/(1-$AD$13^2))*($H$10^3/$AD$5/$H$7/$H$7)*$AD$8*$AD$8*(($AD$8^2)*(($H$13/$H$10)^2-3*($H$13/$H$10)*(H31/$H$10)+1.5*(H31/$H$10)^2)+1))/1000*$G$29/$K$29</f>
        <v>7.96671883444888</v>
      </c>
      <c r="I37" s="215">
        <f t="shared" si="6"/>
        <v>7.51838353061381</v>
      </c>
      <c r="J37" s="215">
        <f t="shared" si="6"/>
        <v>7.11880211337086</v>
      </c>
      <c r="K37" s="209">
        <f t="shared" si="6"/>
        <v>6.77433594543291</v>
      </c>
      <c r="L37" s="215">
        <f t="shared" si="6"/>
        <v>6.48286457256234</v>
      </c>
      <c r="M37" s="209">
        <f t="shared" si="6"/>
        <v>6.24438799475914</v>
      </c>
      <c r="N37" s="215">
        <f t="shared" si="6"/>
        <v>5.92641922435488</v>
      </c>
      <c r="O37" s="215">
        <f t="shared" si="6"/>
        <v>5.84692703175382</v>
      </c>
      <c r="P37" s="223">
        <f t="shared" si="6"/>
        <v>5.82042963422013</v>
      </c>
      <c r="Q37" s="224"/>
      <c r="R37" s="224"/>
      <c r="S37" s="224"/>
      <c r="T37" s="224"/>
      <c r="U37" s="224"/>
      <c r="V37" s="224"/>
      <c r="W37" s="10"/>
      <c r="X37" s="191"/>
      <c r="Y37" s="74"/>
      <c r="Z37" s="74"/>
      <c r="AA37" s="74"/>
      <c r="AB37" s="74"/>
      <c r="AC37" s="74"/>
      <c r="AD37" s="74"/>
      <c r="AE37" s="4"/>
      <c r="AF37" s="214"/>
      <c r="AG37" s="4"/>
      <c r="AH37" s="3"/>
      <c r="AL37" s="4"/>
    </row>
    <row r="38" customFormat="1" customHeight="1" spans="1:38">
      <c r="A38" s="5"/>
      <c r="B38" s="6"/>
      <c r="C38" s="225" t="s">
        <v>202</v>
      </c>
      <c r="D38" s="226"/>
      <c r="E38" s="226"/>
      <c r="F38" s="226"/>
      <c r="G38" s="227"/>
      <c r="H38" s="228"/>
      <c r="I38" s="227"/>
      <c r="J38" s="227"/>
      <c r="K38" s="227"/>
      <c r="L38" s="227"/>
      <c r="M38" s="227"/>
      <c r="N38" s="227"/>
      <c r="O38" s="227"/>
      <c r="P38" s="229"/>
      <c r="Q38" s="230"/>
      <c r="R38" s="230"/>
      <c r="S38" s="230"/>
      <c r="T38" s="230"/>
      <c r="U38" s="230"/>
      <c r="V38" s="230"/>
      <c r="W38" s="10"/>
      <c r="X38" s="191"/>
      <c r="Y38" s="74"/>
      <c r="Z38" s="74"/>
      <c r="AA38" s="74"/>
      <c r="AB38" s="74"/>
      <c r="AC38" s="74"/>
      <c r="AD38" s="74"/>
      <c r="AE38" s="4"/>
      <c r="AF38" s="214"/>
      <c r="AG38" s="4"/>
      <c r="AH38" s="3"/>
      <c r="AL38" s="4"/>
    </row>
    <row r="39" customFormat="1" ht="12" customHeight="1" spans="1:38">
      <c r="A39" s="5"/>
      <c r="B39" s="6"/>
      <c r="C39" s="231">
        <f>3.1415926*0.25*(H7^2-H8^2)</f>
        <v>380.6903372865</v>
      </c>
      <c r="D39" s="232"/>
      <c r="E39" s="232"/>
      <c r="F39" s="232"/>
      <c r="G39" s="232"/>
      <c r="H39" s="233"/>
      <c r="I39" s="232"/>
      <c r="J39" s="232"/>
      <c r="K39" s="232"/>
      <c r="L39" s="232"/>
      <c r="M39" s="232"/>
      <c r="N39" s="232"/>
      <c r="O39" s="232"/>
      <c r="P39" s="234"/>
      <c r="Q39" s="235"/>
      <c r="R39" s="235"/>
      <c r="S39" s="235"/>
      <c r="T39" s="235"/>
      <c r="U39" s="235"/>
      <c r="V39" s="235"/>
      <c r="W39" s="236"/>
      <c r="X39" s="237"/>
      <c r="Y39" s="74"/>
      <c r="Z39" s="74"/>
      <c r="AA39" s="74"/>
      <c r="AB39" s="74"/>
      <c r="AC39" s="74"/>
      <c r="AD39" s="74"/>
      <c r="AE39" s="4"/>
      <c r="AF39" s="214"/>
      <c r="AG39" s="4"/>
      <c r="AH39" s="3"/>
      <c r="AL39" s="4"/>
    </row>
    <row r="40" customFormat="1" ht="15" customHeight="1" spans="1:38">
      <c r="A40" s="5"/>
      <c r="B40" s="6"/>
      <c r="C40" s="238"/>
      <c r="D40" s="239"/>
      <c r="E40" s="239"/>
      <c r="F40" s="240"/>
      <c r="G40" s="240"/>
      <c r="H40" s="241"/>
      <c r="I40" s="240"/>
      <c r="J40" s="240"/>
      <c r="K40" s="240"/>
      <c r="L40" s="240"/>
      <c r="M40" s="240"/>
      <c r="N40" s="240"/>
      <c r="O40" s="240"/>
      <c r="P40" s="242"/>
      <c r="Q40" s="243"/>
      <c r="R40" s="243"/>
      <c r="S40" s="243"/>
      <c r="T40" s="243"/>
      <c r="U40" s="243"/>
      <c r="V40" s="243"/>
      <c r="W40" s="236"/>
      <c r="X40" s="237"/>
      <c r="Y40" s="74"/>
      <c r="Z40" s="74"/>
      <c r="AA40" s="74"/>
      <c r="AB40" s="74"/>
      <c r="AC40" s="74"/>
      <c r="AD40" s="74"/>
      <c r="AE40" s="4"/>
      <c r="AF40" s="214"/>
      <c r="AG40" s="4"/>
      <c r="AH40" s="3"/>
      <c r="AL40" s="4"/>
    </row>
    <row r="41" customFormat="1" ht="31" customHeight="1" spans="1:38">
      <c r="A41" s="5"/>
      <c r="B41" s="6"/>
      <c r="C41" s="244"/>
      <c r="D41" s="244"/>
      <c r="E41" s="244"/>
      <c r="F41" s="244"/>
      <c r="G41" s="244"/>
      <c r="H41" s="245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36"/>
      <c r="X41" s="9"/>
      <c r="Y41" s="10"/>
      <c r="Z41" s="8"/>
      <c r="AA41" s="10"/>
      <c r="AB41" s="10"/>
      <c r="AC41" s="10"/>
      <c r="AD41" s="10"/>
      <c r="AE41" s="1"/>
      <c r="AF41" s="2"/>
      <c r="AG41" s="1"/>
      <c r="AH41" s="3"/>
      <c r="AL41" s="4"/>
    </row>
    <row r="42" customFormat="1" spans="1:38">
      <c r="A42" s="5"/>
      <c r="B42" s="5"/>
      <c r="C42" s="9"/>
      <c r="D42" s="9"/>
      <c r="E42" s="9"/>
      <c r="F42" s="9"/>
      <c r="G42" s="9"/>
      <c r="H42" s="10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236"/>
      <c r="X42" s="9"/>
      <c r="Y42" s="10"/>
      <c r="Z42" s="8"/>
      <c r="AA42" s="10"/>
      <c r="AB42" s="10"/>
      <c r="AC42" s="10"/>
      <c r="AD42" s="10"/>
      <c r="AE42" s="1"/>
      <c r="AF42" s="2"/>
      <c r="AG42" s="1"/>
      <c r="AH42" s="3"/>
      <c r="AL42" s="4"/>
    </row>
    <row r="43" customFormat="1" spans="1:38">
      <c r="A43" s="5"/>
      <c r="B43" s="5"/>
      <c r="C43" s="9"/>
      <c r="D43" s="9"/>
      <c r="E43" s="9"/>
      <c r="F43" s="9"/>
      <c r="G43" s="9"/>
      <c r="H43" s="10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8"/>
      <c r="X43" s="9"/>
      <c r="Y43" s="10"/>
      <c r="Z43" s="8"/>
      <c r="AA43" s="10"/>
      <c r="AB43" s="10"/>
      <c r="AC43" s="10"/>
      <c r="AD43" s="10"/>
      <c r="AE43" s="1"/>
      <c r="AF43" s="2"/>
      <c r="AG43" s="1"/>
      <c r="AH43" s="3"/>
      <c r="AL43" s="4"/>
    </row>
    <row r="44" customFormat="1" spans="1:38">
      <c r="A44" s="5"/>
      <c r="B44" s="5"/>
      <c r="C44" s="9"/>
      <c r="D44" s="9"/>
      <c r="E44" s="9"/>
      <c r="F44" s="9"/>
      <c r="G44" s="9"/>
      <c r="H44" s="10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8"/>
      <c r="X44" s="9"/>
      <c r="Y44" s="10"/>
      <c r="Z44" s="8"/>
      <c r="AA44" s="10"/>
      <c r="AB44" s="10"/>
      <c r="AC44" s="10"/>
      <c r="AD44" s="10"/>
      <c r="AE44" s="1"/>
      <c r="AF44" s="2"/>
      <c r="AG44" s="1"/>
      <c r="AH44" s="3"/>
      <c r="AL44" s="4"/>
    </row>
    <row r="45" customFormat="1" spans="1:38">
      <c r="A45" s="5"/>
      <c r="B45" s="5"/>
      <c r="C45" s="9"/>
      <c r="D45" s="9"/>
      <c r="E45" s="9"/>
      <c r="F45" s="9"/>
      <c r="G45" s="9"/>
      <c r="H45" s="10"/>
      <c r="I45" s="84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8"/>
      <c r="X45" s="9"/>
      <c r="Y45" s="10"/>
      <c r="Z45" s="8"/>
      <c r="AA45" s="10"/>
      <c r="AB45" s="10"/>
      <c r="AC45" s="10"/>
      <c r="AD45" s="10"/>
      <c r="AE45" s="1"/>
      <c r="AF45" s="2"/>
      <c r="AG45" s="1"/>
      <c r="AH45" s="3"/>
      <c r="AL45" s="4"/>
    </row>
    <row r="46" customFormat="1" spans="1:38">
      <c r="A46" s="5"/>
      <c r="B46" s="5"/>
      <c r="C46" s="9"/>
      <c r="D46" s="9"/>
      <c r="E46" s="9"/>
      <c r="F46" s="9"/>
      <c r="G46" s="9"/>
      <c r="H46" s="10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8"/>
      <c r="X46" s="9"/>
      <c r="Y46" s="10"/>
      <c r="Z46" s="8"/>
      <c r="AA46" s="10"/>
      <c r="AB46" s="10"/>
      <c r="AC46" s="10"/>
      <c r="AD46" s="10"/>
      <c r="AE46" s="1"/>
      <c r="AF46" s="2"/>
      <c r="AG46" s="1"/>
      <c r="AH46" s="3"/>
      <c r="AL46" s="4"/>
    </row>
    <row r="47" customFormat="1" spans="1:38">
      <c r="A47" s="5"/>
      <c r="B47" s="5"/>
      <c r="C47" s="9"/>
      <c r="D47" s="9"/>
      <c r="E47" s="9"/>
      <c r="F47" s="9"/>
      <c r="G47" s="9"/>
      <c r="H47" s="10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8"/>
      <c r="X47" s="9"/>
      <c r="Y47" s="10"/>
      <c r="Z47" s="8"/>
      <c r="AA47" s="10"/>
      <c r="AB47" s="10"/>
      <c r="AC47" s="10"/>
      <c r="AD47" s="10"/>
      <c r="AE47" s="1"/>
      <c r="AF47" s="2"/>
      <c r="AG47" s="1"/>
      <c r="AH47" s="3"/>
      <c r="AL47" s="4"/>
    </row>
    <row r="48" customFormat="1" spans="1:38">
      <c r="A48" s="5"/>
      <c r="B48" s="5"/>
      <c r="C48" s="9"/>
      <c r="D48" s="9"/>
      <c r="E48" s="9"/>
      <c r="F48" s="9"/>
      <c r="G48" s="9"/>
      <c r="H48" s="10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8"/>
      <c r="X48" s="9"/>
      <c r="Y48" s="10"/>
      <c r="Z48" s="8"/>
      <c r="AA48" s="10"/>
      <c r="AB48" s="10"/>
      <c r="AC48" s="10"/>
      <c r="AD48" s="10"/>
      <c r="AE48" s="1"/>
      <c r="AF48" s="2"/>
      <c r="AG48" s="1"/>
      <c r="AH48" s="3"/>
      <c r="AL48" s="4"/>
    </row>
    <row r="49" customFormat="1" spans="1:38">
      <c r="A49" s="5"/>
      <c r="B49" s="5"/>
      <c r="C49" s="9"/>
      <c r="D49" s="9"/>
      <c r="E49" s="9"/>
      <c r="F49" s="9"/>
      <c r="G49" s="9"/>
      <c r="H49" s="10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8"/>
      <c r="X49" s="9"/>
      <c r="Y49" s="10"/>
      <c r="Z49" s="8"/>
      <c r="AA49" s="10"/>
      <c r="AB49" s="10"/>
      <c r="AC49" s="10"/>
      <c r="AD49" s="10"/>
      <c r="AE49" s="1"/>
      <c r="AF49" s="2"/>
      <c r="AG49" s="1"/>
      <c r="AH49" s="3"/>
      <c r="AL49" s="4"/>
    </row>
    <row r="50" customFormat="1" spans="1:38">
      <c r="A50" s="5"/>
      <c r="B50" s="5"/>
      <c r="C50" s="9"/>
      <c r="D50" s="9"/>
      <c r="E50" s="9"/>
      <c r="F50" s="9"/>
      <c r="G50" s="9"/>
      <c r="H50" s="10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8"/>
      <c r="X50" s="9"/>
      <c r="Y50" s="10"/>
      <c r="Z50" s="8"/>
      <c r="AA50" s="10"/>
      <c r="AB50" s="10"/>
      <c r="AC50" s="10"/>
      <c r="AD50" s="10"/>
      <c r="AE50" s="1"/>
      <c r="AF50" s="2"/>
      <c r="AG50" s="1"/>
      <c r="AH50" s="3"/>
      <c r="AL50" s="4"/>
    </row>
    <row r="51" customFormat="1" spans="1:38">
      <c r="A51" s="5"/>
      <c r="B51" s="5"/>
      <c r="C51" s="9"/>
      <c r="D51" s="9"/>
      <c r="E51" s="9"/>
      <c r="F51" s="9"/>
      <c r="G51" s="9"/>
      <c r="H51" s="10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8"/>
      <c r="X51" s="9"/>
      <c r="Y51" s="10"/>
      <c r="Z51" s="8"/>
      <c r="AA51" s="10"/>
      <c r="AB51" s="10"/>
      <c r="AC51" s="10"/>
      <c r="AD51" s="10"/>
      <c r="AE51" s="1"/>
      <c r="AF51" s="2"/>
      <c r="AG51" s="1"/>
      <c r="AH51" s="3"/>
      <c r="AL51" s="4"/>
    </row>
    <row r="52" customFormat="1" spans="1:38">
      <c r="A52" s="5"/>
      <c r="B52" s="5"/>
      <c r="C52" s="9"/>
      <c r="D52" s="9"/>
      <c r="E52" s="9"/>
      <c r="F52" s="9"/>
      <c r="G52" s="9"/>
      <c r="H52" s="10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8"/>
      <c r="X52" s="9"/>
      <c r="Y52" s="10"/>
      <c r="Z52" s="8"/>
      <c r="AA52" s="10"/>
      <c r="AB52" s="10"/>
      <c r="AC52" s="10"/>
      <c r="AD52" s="10"/>
      <c r="AE52" s="1"/>
      <c r="AF52" s="2"/>
      <c r="AG52" s="1"/>
      <c r="AH52" s="3"/>
      <c r="AL52" s="4"/>
    </row>
    <row r="53" customFormat="1" spans="1:38">
      <c r="A53" s="5"/>
      <c r="B53" s="5"/>
      <c r="C53" s="9"/>
      <c r="D53" s="9"/>
      <c r="E53" s="9"/>
      <c r="F53" s="9"/>
      <c r="G53" s="9"/>
      <c r="H53" s="10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8"/>
      <c r="X53" s="9"/>
      <c r="Y53" s="10"/>
      <c r="Z53" s="8"/>
      <c r="AA53" s="10"/>
      <c r="AB53" s="10"/>
      <c r="AC53" s="10"/>
      <c r="AD53" s="10"/>
      <c r="AE53" s="1"/>
      <c r="AF53" s="2"/>
      <c r="AG53" s="1"/>
      <c r="AH53" s="3"/>
      <c r="AL53" s="4"/>
    </row>
    <row r="54" customFormat="1" spans="1:38">
      <c r="A54" s="5"/>
      <c r="B54" s="5"/>
      <c r="C54" s="9"/>
      <c r="D54" s="9"/>
      <c r="E54" s="9"/>
      <c r="F54" s="9"/>
      <c r="G54" s="9"/>
      <c r="H54" s="10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8"/>
      <c r="X54" s="9"/>
      <c r="Y54" s="10"/>
      <c r="Z54" s="10"/>
      <c r="AA54" s="10"/>
      <c r="AB54" s="10"/>
      <c r="AC54" s="10"/>
      <c r="AD54" s="10"/>
      <c r="AE54" s="1"/>
      <c r="AF54" s="2"/>
      <c r="AG54" s="1"/>
      <c r="AH54" s="3"/>
      <c r="AL54" s="4"/>
    </row>
    <row r="55" customFormat="1" spans="1:38">
      <c r="A55" s="5"/>
      <c r="B55" s="5"/>
      <c r="C55" s="9"/>
      <c r="D55" s="9"/>
      <c r="E55" s="9"/>
      <c r="F55" s="9"/>
      <c r="G55" s="9"/>
      <c r="H55" s="10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8"/>
      <c r="X55" s="9"/>
      <c r="Y55" s="10"/>
      <c r="Z55" s="10"/>
      <c r="AA55" s="10"/>
      <c r="AB55" s="10"/>
      <c r="AC55" s="10"/>
      <c r="AD55" s="10"/>
      <c r="AE55" s="1"/>
      <c r="AF55" s="2"/>
      <c r="AG55" s="1"/>
      <c r="AH55" s="3"/>
      <c r="AL55" s="4"/>
    </row>
    <row r="56" customFormat="1" spans="1:38">
      <c r="A56" s="5"/>
      <c r="B56" s="5"/>
      <c r="C56" s="9"/>
      <c r="D56" s="9"/>
      <c r="E56" s="9"/>
      <c r="F56" s="9"/>
      <c r="G56" s="9"/>
      <c r="H56" s="10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8"/>
      <c r="X56" s="9"/>
      <c r="Y56" s="10"/>
      <c r="Z56" s="10"/>
      <c r="AA56" s="10"/>
      <c r="AB56" s="10"/>
      <c r="AC56" s="10"/>
      <c r="AD56" s="10"/>
      <c r="AE56" s="1"/>
      <c r="AF56" s="2"/>
      <c r="AG56" s="1"/>
      <c r="AH56" s="3"/>
      <c r="AL56" s="4"/>
    </row>
    <row r="57" customFormat="1" spans="1:38">
      <c r="A57" s="5"/>
      <c r="B57" s="5"/>
      <c r="C57" s="9"/>
      <c r="D57" s="9"/>
      <c r="E57" s="9"/>
      <c r="F57" s="9"/>
      <c r="G57" s="9"/>
      <c r="H57" s="10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8"/>
      <c r="X57" s="9"/>
      <c r="Y57" s="10"/>
      <c r="Z57" s="10"/>
      <c r="AA57" s="10"/>
      <c r="AB57" s="10"/>
      <c r="AC57" s="10"/>
      <c r="AD57" s="10"/>
      <c r="AE57" s="1"/>
      <c r="AF57" s="2"/>
      <c r="AG57" s="1"/>
      <c r="AH57" s="3"/>
      <c r="AL57" s="4"/>
    </row>
    <row r="58" customFormat="1" spans="1:38">
      <c r="A58" s="5"/>
      <c r="B58" s="5"/>
      <c r="C58" s="9"/>
      <c r="D58" s="9"/>
      <c r="E58" s="9"/>
      <c r="F58" s="9"/>
      <c r="G58" s="9"/>
      <c r="H58" s="10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8"/>
      <c r="X58" s="9"/>
      <c r="Y58" s="10"/>
      <c r="Z58" s="10"/>
      <c r="AA58" s="10"/>
      <c r="AB58" s="10"/>
      <c r="AC58" s="10"/>
      <c r="AD58" s="10"/>
      <c r="AE58" s="1"/>
      <c r="AF58" s="2"/>
      <c r="AG58" s="1"/>
      <c r="AH58" s="3"/>
      <c r="AL58" s="4"/>
    </row>
    <row r="59" customFormat="1" spans="1:38">
      <c r="A59" s="5"/>
      <c r="B59" s="5"/>
      <c r="C59" s="9"/>
      <c r="D59" s="9"/>
      <c r="E59" s="9"/>
      <c r="F59" s="9"/>
      <c r="G59" s="9"/>
      <c r="H59" s="10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8"/>
      <c r="X59" s="9"/>
      <c r="Y59" s="10"/>
      <c r="Z59" s="10"/>
      <c r="AA59" s="10"/>
      <c r="AB59" s="10"/>
      <c r="AC59" s="10"/>
      <c r="AD59" s="10"/>
      <c r="AE59" s="1"/>
      <c r="AF59" s="2"/>
      <c r="AG59" s="1"/>
      <c r="AH59" s="3"/>
      <c r="AL59" s="4"/>
    </row>
    <row r="60" customFormat="1" spans="1:38">
      <c r="A60" s="5"/>
      <c r="B60" s="5"/>
      <c r="C60" s="9"/>
      <c r="D60" s="9"/>
      <c r="E60" s="9"/>
      <c r="F60" s="9"/>
      <c r="G60" s="9"/>
      <c r="H60" s="10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8"/>
      <c r="X60" s="9"/>
      <c r="Y60" s="10"/>
      <c r="Z60" s="10"/>
      <c r="AA60" s="10"/>
      <c r="AB60" s="10"/>
      <c r="AC60" s="10"/>
      <c r="AD60" s="10"/>
      <c r="AE60" s="1"/>
      <c r="AF60" s="2"/>
      <c r="AG60" s="1"/>
      <c r="AH60" s="3"/>
      <c r="AL60" s="4"/>
    </row>
    <row r="61" customFormat="1" spans="1:38">
      <c r="A61" s="5"/>
      <c r="B61" s="5"/>
      <c r="C61" s="9"/>
      <c r="D61" s="9"/>
      <c r="E61" s="9"/>
      <c r="F61" s="9"/>
      <c r="G61" s="9"/>
      <c r="H61" s="10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8"/>
      <c r="X61" s="9"/>
      <c r="Y61" s="10"/>
      <c r="Z61" s="10"/>
      <c r="AA61" s="10"/>
      <c r="AB61" s="10"/>
      <c r="AC61" s="10"/>
      <c r="AD61" s="10"/>
      <c r="AE61" s="1"/>
      <c r="AF61" s="2"/>
      <c r="AG61" s="1"/>
      <c r="AH61" s="3"/>
      <c r="AL61" s="4"/>
    </row>
    <row r="62" customFormat="1" spans="1:38">
      <c r="A62" s="5"/>
      <c r="B62" s="5"/>
      <c r="C62" s="9"/>
      <c r="D62" s="9"/>
      <c r="E62" s="9"/>
      <c r="F62" s="9"/>
      <c r="G62" s="9"/>
      <c r="H62" s="10"/>
      <c r="I62" s="9"/>
      <c r="J62" s="9"/>
      <c r="K62" s="9"/>
      <c r="L62" s="9">
        <v>0.15</v>
      </c>
      <c r="M62" s="9">
        <v>150</v>
      </c>
      <c r="N62" s="9"/>
      <c r="O62" s="9"/>
      <c r="P62" s="9"/>
      <c r="Q62" s="9"/>
      <c r="R62" s="9"/>
      <c r="S62" s="9"/>
      <c r="T62" s="9"/>
      <c r="U62" s="9"/>
      <c r="V62" s="9"/>
      <c r="W62" s="8"/>
      <c r="X62" s="9"/>
      <c r="Y62" s="10"/>
      <c r="Z62" s="10"/>
      <c r="AA62" s="10"/>
      <c r="AB62" s="10"/>
      <c r="AC62" s="10"/>
      <c r="AD62" s="10"/>
      <c r="AE62" s="1"/>
      <c r="AF62" s="2"/>
      <c r="AG62" s="1"/>
      <c r="AH62" s="3"/>
      <c r="AL62" s="4"/>
    </row>
    <row r="63" customFormat="1" spans="1:38">
      <c r="A63" s="5"/>
      <c r="B63" s="5"/>
      <c r="C63" s="9"/>
      <c r="D63" s="9"/>
      <c r="E63" s="9"/>
      <c r="F63" s="9"/>
      <c r="G63" s="9"/>
      <c r="H63" s="10"/>
      <c r="I63" s="9"/>
      <c r="J63" s="9"/>
      <c r="K63" s="9"/>
      <c r="L63" s="9">
        <v>0.4</v>
      </c>
      <c r="M63" s="9">
        <v>400</v>
      </c>
      <c r="N63" s="9"/>
      <c r="O63" s="9"/>
      <c r="P63" s="9"/>
      <c r="Q63" s="9"/>
      <c r="R63" s="9"/>
      <c r="S63" s="9"/>
      <c r="T63" s="9"/>
      <c r="U63" s="9"/>
      <c r="V63" s="9"/>
      <c r="W63" s="8"/>
      <c r="X63" s="9"/>
      <c r="Y63" s="10"/>
      <c r="Z63" s="10"/>
      <c r="AA63" s="10"/>
      <c r="AB63" s="10"/>
      <c r="AC63" s="10"/>
      <c r="AD63" s="10"/>
      <c r="AE63" s="1"/>
      <c r="AF63" s="2"/>
      <c r="AG63" s="1"/>
      <c r="AH63" s="3"/>
      <c r="AL63" s="4"/>
    </row>
    <row r="64" customFormat="1" spans="1:38">
      <c r="A64" s="5"/>
      <c r="B64" s="5"/>
      <c r="C64" s="9"/>
      <c r="D64" s="9"/>
      <c r="E64" s="9"/>
      <c r="F64" s="9"/>
      <c r="G64" s="9"/>
      <c r="H64" s="10"/>
      <c r="I64" s="9"/>
      <c r="J64" s="9"/>
      <c r="K64" s="9"/>
      <c r="L64" s="9">
        <v>0.8</v>
      </c>
      <c r="M64" s="9">
        <v>750</v>
      </c>
      <c r="N64" s="9"/>
      <c r="O64" s="9"/>
      <c r="P64" s="9"/>
      <c r="Q64" s="9"/>
      <c r="R64" s="9"/>
      <c r="S64" s="9"/>
      <c r="T64" s="9"/>
      <c r="U64" s="9"/>
      <c r="V64" s="9"/>
      <c r="W64" s="8"/>
      <c r="X64" s="9"/>
      <c r="Y64" s="10"/>
      <c r="Z64" s="10"/>
      <c r="AA64" s="10"/>
      <c r="AB64" s="10"/>
      <c r="AC64" s="10"/>
      <c r="AD64" s="10"/>
      <c r="AE64" s="1"/>
      <c r="AF64" s="2"/>
      <c r="AG64" s="1"/>
      <c r="AH64" s="3"/>
      <c r="AL64" s="4"/>
    </row>
    <row r="65" customFormat="1" spans="1:38">
      <c r="A65" s="5"/>
      <c r="B65" s="5"/>
      <c r="C65" s="9"/>
      <c r="D65" s="9"/>
      <c r="E65" s="9"/>
      <c r="F65" s="9"/>
      <c r="G65" s="9"/>
      <c r="H65" s="10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8"/>
      <c r="X65" s="9"/>
      <c r="Y65" s="10"/>
      <c r="Z65" s="10"/>
      <c r="AA65" s="10"/>
      <c r="AB65" s="10"/>
      <c r="AC65" s="10"/>
      <c r="AD65" s="10"/>
      <c r="AE65" s="1"/>
      <c r="AF65" s="2"/>
      <c r="AG65" s="1"/>
      <c r="AH65" s="3"/>
      <c r="AL65" s="4"/>
    </row>
    <row r="66" customFormat="1" spans="1:38">
      <c r="A66" s="5"/>
      <c r="B66" s="5"/>
      <c r="C66" s="9"/>
      <c r="D66" s="9"/>
      <c r="E66" s="9"/>
      <c r="F66" s="9"/>
      <c r="G66" s="9"/>
      <c r="H66" s="10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8"/>
      <c r="X66" s="9"/>
      <c r="Y66" s="10"/>
      <c r="Z66" s="10"/>
      <c r="AA66" s="10"/>
      <c r="AB66" s="10"/>
      <c r="AC66" s="10"/>
      <c r="AD66" s="10"/>
      <c r="AE66" s="1"/>
      <c r="AF66" s="2"/>
      <c r="AG66" s="1"/>
      <c r="AH66" s="3"/>
      <c r="AL66" s="4"/>
    </row>
    <row r="67" customFormat="1" spans="1:38">
      <c r="A67" s="5"/>
      <c r="B67" s="5"/>
      <c r="C67" s="9"/>
      <c r="D67" s="9"/>
      <c r="E67" s="9"/>
      <c r="F67" s="9"/>
      <c r="G67" s="9"/>
      <c r="H67" s="10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8"/>
      <c r="X67" s="9"/>
      <c r="Y67" s="10"/>
      <c r="Z67" s="10"/>
      <c r="AA67" s="10"/>
      <c r="AB67" s="10"/>
      <c r="AC67" s="10"/>
      <c r="AD67" s="10"/>
      <c r="AE67" s="1"/>
      <c r="AF67" s="2"/>
      <c r="AG67" s="1"/>
      <c r="AH67" s="3"/>
      <c r="AL67" s="4"/>
    </row>
    <row r="68" customFormat="1" spans="1:38">
      <c r="A68" s="5"/>
      <c r="B68" s="5"/>
      <c r="C68" s="9"/>
      <c r="D68" s="9"/>
      <c r="E68" s="9"/>
      <c r="F68" s="9"/>
      <c r="G68" s="9"/>
      <c r="H68" s="10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8"/>
      <c r="X68" s="9"/>
      <c r="Y68" s="10"/>
      <c r="Z68" s="10"/>
      <c r="AA68" s="10"/>
      <c r="AB68" s="10"/>
      <c r="AC68" s="10"/>
      <c r="AD68" s="10"/>
      <c r="AE68" s="1"/>
      <c r="AF68" s="2"/>
      <c r="AG68" s="1"/>
      <c r="AH68" s="3"/>
      <c r="AL68" s="4"/>
    </row>
    <row r="69" customFormat="1" spans="1:38">
      <c r="A69" s="5"/>
      <c r="B69" s="5"/>
      <c r="C69" s="9"/>
      <c r="D69" s="9"/>
      <c r="E69" s="9"/>
      <c r="F69" s="9"/>
      <c r="G69" s="9"/>
      <c r="H69" s="10"/>
      <c r="I69" s="9"/>
      <c r="J69" s="9"/>
      <c r="K69" s="9"/>
      <c r="L69" s="246" t="s">
        <v>103</v>
      </c>
      <c r="M69" s="246"/>
      <c r="N69" s="9"/>
      <c r="O69" s="9"/>
      <c r="P69" s="9"/>
      <c r="Q69" s="9"/>
      <c r="R69" s="9"/>
      <c r="S69" s="9"/>
      <c r="T69" s="9"/>
      <c r="U69" s="9"/>
      <c r="V69" s="9"/>
      <c r="W69" s="8"/>
      <c r="X69" s="9"/>
      <c r="Y69" s="10"/>
      <c r="Z69" s="10"/>
      <c r="AA69" s="10"/>
      <c r="AB69" s="10"/>
      <c r="AC69" s="10"/>
      <c r="AD69" s="10"/>
      <c r="AE69" s="1"/>
      <c r="AF69" s="2"/>
      <c r="AG69" s="1"/>
      <c r="AH69" s="3"/>
      <c r="AL69" s="4"/>
    </row>
    <row r="70" customFormat="1" spans="1:38">
      <c r="A70" s="5"/>
      <c r="B70" s="5"/>
      <c r="C70" s="9"/>
      <c r="D70" s="9"/>
      <c r="E70" s="9"/>
      <c r="F70" s="9"/>
      <c r="G70" s="9"/>
      <c r="H70" s="10"/>
      <c r="I70" s="9"/>
      <c r="J70" s="9"/>
      <c r="K70" s="9"/>
      <c r="L70" s="246">
        <v>0.15</v>
      </c>
      <c r="M70" s="246">
        <v>251</v>
      </c>
      <c r="N70" s="9"/>
      <c r="O70" s="9"/>
      <c r="P70" s="9"/>
      <c r="Q70" s="9"/>
      <c r="R70" s="9"/>
      <c r="S70" s="9"/>
      <c r="T70" s="9"/>
      <c r="U70" s="9"/>
      <c r="V70" s="9"/>
      <c r="W70" s="8"/>
      <c r="X70" s="9"/>
      <c r="Y70" s="10"/>
      <c r="Z70" s="10"/>
      <c r="AA70" s="10"/>
      <c r="AB70" s="10"/>
      <c r="AC70" s="10"/>
      <c r="AD70" s="10"/>
      <c r="AE70" s="1"/>
      <c r="AF70" s="2"/>
      <c r="AG70" s="1"/>
      <c r="AH70" s="3"/>
      <c r="AL70" s="4"/>
    </row>
    <row r="71" customFormat="1" spans="1:38">
      <c r="A71" s="5"/>
      <c r="B71" s="5"/>
      <c r="C71" s="9"/>
      <c r="D71" s="9"/>
      <c r="E71" s="9"/>
      <c r="F71" s="9"/>
      <c r="G71" s="9"/>
      <c r="H71" s="10"/>
      <c r="I71" s="9"/>
      <c r="J71" s="9"/>
      <c r="K71" s="9"/>
      <c r="L71" s="246">
        <v>0.4</v>
      </c>
      <c r="M71" s="246">
        <v>523</v>
      </c>
      <c r="N71" s="9"/>
      <c r="O71" s="9"/>
      <c r="P71" s="9"/>
      <c r="Q71" s="9"/>
      <c r="R71" s="9"/>
      <c r="S71" s="9"/>
      <c r="T71" s="9"/>
      <c r="U71" s="9"/>
      <c r="V71" s="9"/>
      <c r="W71" s="8"/>
      <c r="X71" s="9"/>
      <c r="Y71" s="10"/>
      <c r="Z71" s="10"/>
      <c r="AA71" s="10"/>
      <c r="AB71" s="10"/>
      <c r="AC71" s="10"/>
      <c r="AD71" s="10"/>
      <c r="AE71" s="1"/>
      <c r="AF71" s="2"/>
      <c r="AG71" s="1"/>
      <c r="AH71" s="3"/>
      <c r="AL71" s="4"/>
    </row>
    <row r="72" customFormat="1" spans="1:38">
      <c r="A72" s="5"/>
      <c r="B72" s="5"/>
      <c r="C72" s="9"/>
      <c r="D72" s="9"/>
      <c r="E72" s="9"/>
      <c r="F72" s="9"/>
      <c r="G72" s="9"/>
      <c r="H72" s="10"/>
      <c r="I72" s="9"/>
      <c r="J72" s="9"/>
      <c r="K72" s="9"/>
      <c r="L72" s="246">
        <v>0.8</v>
      </c>
      <c r="M72" s="246">
        <v>755</v>
      </c>
      <c r="N72" s="9"/>
      <c r="O72" s="9"/>
      <c r="P72" s="9"/>
      <c r="Q72" s="9"/>
      <c r="R72" s="9"/>
      <c r="S72" s="9"/>
      <c r="T72" s="9"/>
      <c r="U72" s="9"/>
      <c r="V72" s="9"/>
      <c r="W72" s="8"/>
      <c r="X72" s="9"/>
      <c r="Y72" s="10"/>
      <c r="Z72" s="10"/>
      <c r="AA72" s="10"/>
      <c r="AB72" s="10"/>
      <c r="AC72" s="10"/>
      <c r="AD72" s="10"/>
      <c r="AE72" s="1"/>
      <c r="AF72" s="2"/>
      <c r="AG72" s="1"/>
      <c r="AH72" s="3"/>
      <c r="AL72" s="4"/>
    </row>
    <row r="73" customFormat="1" spans="1:38">
      <c r="A73" s="5"/>
      <c r="B73" s="5"/>
      <c r="C73" s="9"/>
      <c r="D73" s="9"/>
      <c r="E73" s="9"/>
      <c r="F73" s="9"/>
      <c r="G73" s="9"/>
      <c r="H73" s="10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8"/>
      <c r="X73" s="9"/>
      <c r="Y73" s="10"/>
      <c r="Z73" s="10"/>
      <c r="AA73" s="10"/>
      <c r="AB73" s="10"/>
      <c r="AC73" s="10"/>
      <c r="AD73" s="10"/>
      <c r="AE73" s="1"/>
      <c r="AF73" s="2"/>
      <c r="AG73" s="1"/>
      <c r="AH73" s="3"/>
      <c r="AL73" s="4"/>
    </row>
    <row r="74" customFormat="1" spans="1:38">
      <c r="A74" s="5"/>
      <c r="B74" s="5"/>
      <c r="C74" s="9"/>
      <c r="D74" s="9"/>
      <c r="E74" s="9"/>
      <c r="F74" s="9"/>
      <c r="G74" s="9"/>
      <c r="H74" s="10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8"/>
      <c r="X74" s="9"/>
      <c r="Y74" s="10"/>
      <c r="Z74" s="10"/>
      <c r="AA74" s="10"/>
      <c r="AB74" s="10"/>
      <c r="AC74" s="10"/>
      <c r="AD74" s="10"/>
      <c r="AE74" s="1"/>
      <c r="AF74" s="2"/>
      <c r="AG74" s="1"/>
      <c r="AH74" s="3"/>
      <c r="AL74" s="4"/>
    </row>
    <row r="75" customFormat="1" spans="1:38">
      <c r="A75" s="5"/>
      <c r="B75" s="5"/>
      <c r="C75" s="9"/>
      <c r="D75" s="9"/>
      <c r="E75" s="9"/>
      <c r="F75" s="9"/>
      <c r="G75" s="9"/>
      <c r="H75" s="10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8"/>
      <c r="X75" s="9"/>
      <c r="Y75" s="10"/>
      <c r="Z75" s="10"/>
      <c r="AA75" s="10"/>
      <c r="AB75" s="10"/>
      <c r="AC75" s="10"/>
      <c r="AD75" s="10"/>
      <c r="AE75" s="1"/>
      <c r="AF75" s="2"/>
      <c r="AG75" s="1"/>
      <c r="AH75" s="3"/>
      <c r="AL75" s="4"/>
    </row>
    <row r="76" customFormat="1" spans="1:38">
      <c r="A76" s="5"/>
      <c r="B76" s="5"/>
      <c r="C76" s="9"/>
      <c r="D76" s="9"/>
      <c r="E76" s="9"/>
      <c r="F76" s="9"/>
      <c r="G76" s="9"/>
      <c r="H76" s="10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8"/>
      <c r="X76" s="9"/>
      <c r="Y76" s="10"/>
      <c r="Z76" s="10"/>
      <c r="AA76" s="10"/>
      <c r="AB76" s="10"/>
      <c r="AC76" s="10"/>
      <c r="AD76" s="10"/>
      <c r="AE76" s="1"/>
      <c r="AF76" s="2"/>
      <c r="AG76" s="1"/>
      <c r="AH76" s="3"/>
      <c r="AL76" s="4"/>
    </row>
    <row r="77" customFormat="1" spans="1:38">
      <c r="A77" s="5"/>
      <c r="B77" s="5"/>
      <c r="C77" s="9"/>
      <c r="D77" s="9"/>
      <c r="E77" s="9"/>
      <c r="F77" s="9"/>
      <c r="G77" s="9"/>
      <c r="H77" s="10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8"/>
      <c r="X77" s="9"/>
      <c r="Y77" s="10"/>
      <c r="Z77" s="10"/>
      <c r="AA77" s="10"/>
      <c r="AB77" s="10"/>
      <c r="AC77" s="10"/>
      <c r="AD77" s="10"/>
      <c r="AE77" s="1"/>
      <c r="AF77" s="2"/>
      <c r="AG77" s="1"/>
      <c r="AH77" s="3"/>
      <c r="AL77" s="4"/>
    </row>
    <row r="78" customFormat="1" spans="1:38">
      <c r="A78" s="5"/>
      <c r="B78" s="5"/>
      <c r="C78" s="9"/>
      <c r="D78" s="9"/>
      <c r="E78" s="9"/>
      <c r="F78" s="9"/>
      <c r="G78" s="9"/>
      <c r="H78" s="10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8"/>
      <c r="X78" s="9"/>
      <c r="Y78" s="10"/>
      <c r="Z78" s="10"/>
      <c r="AA78" s="10"/>
      <c r="AB78" s="10"/>
      <c r="AC78" s="10"/>
      <c r="AD78" s="10"/>
      <c r="AE78" s="1"/>
      <c r="AF78" s="2"/>
      <c r="AG78" s="1"/>
      <c r="AH78" s="3"/>
      <c r="AL78" s="4"/>
    </row>
    <row r="79" customFormat="1" spans="1:38">
      <c r="A79" s="5"/>
      <c r="B79" s="5"/>
      <c r="C79" s="9"/>
      <c r="D79" s="9"/>
      <c r="E79" s="9"/>
      <c r="F79" s="9"/>
      <c r="G79" s="9"/>
      <c r="H79" s="10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8"/>
      <c r="X79" s="9"/>
      <c r="Y79" s="10"/>
      <c r="Z79" s="10"/>
      <c r="AA79" s="10"/>
      <c r="AB79" s="10"/>
      <c r="AC79" s="10"/>
      <c r="AD79" s="10"/>
      <c r="AE79" s="1"/>
      <c r="AF79" s="2"/>
      <c r="AG79" s="1"/>
      <c r="AH79" s="3"/>
      <c r="AL79" s="4"/>
    </row>
    <row r="80" customFormat="1" spans="1:38">
      <c r="A80" s="5"/>
      <c r="B80" s="5"/>
      <c r="C80" s="9"/>
      <c r="D80" s="9"/>
      <c r="E80" s="9"/>
      <c r="F80" s="9"/>
      <c r="G80" s="9"/>
      <c r="H80" s="10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8"/>
      <c r="X80" s="9"/>
      <c r="Y80" s="10"/>
      <c r="Z80" s="10"/>
      <c r="AA80" s="10"/>
      <c r="AB80" s="10"/>
      <c r="AC80" s="10"/>
      <c r="AD80" s="10"/>
      <c r="AE80" s="1"/>
      <c r="AF80" s="2"/>
      <c r="AG80" s="1"/>
      <c r="AH80" s="3"/>
      <c r="AL80" s="4"/>
    </row>
    <row r="81" customFormat="1" spans="1:38">
      <c r="A81" s="5"/>
      <c r="B81" s="5"/>
      <c r="C81" s="9"/>
      <c r="D81" s="9"/>
      <c r="E81" s="9"/>
      <c r="F81" s="9"/>
      <c r="G81" s="9"/>
      <c r="H81" s="10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8"/>
      <c r="X81" s="9"/>
      <c r="Y81" s="10"/>
      <c r="Z81" s="10"/>
      <c r="AA81" s="10"/>
      <c r="AB81" s="10"/>
      <c r="AC81" s="10"/>
      <c r="AD81" s="10"/>
      <c r="AE81" s="1"/>
      <c r="AF81" s="2"/>
      <c r="AG81" s="1"/>
      <c r="AH81" s="3"/>
      <c r="AL81" s="4"/>
    </row>
    <row r="82" customFormat="1" spans="1:38">
      <c r="A82" s="5"/>
      <c r="B82" s="5"/>
      <c r="C82" s="9"/>
      <c r="D82" s="9"/>
      <c r="E82" s="9"/>
      <c r="F82" s="9"/>
      <c r="G82" s="9"/>
      <c r="H82" s="10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8"/>
      <c r="X82" s="9"/>
      <c r="Y82" s="10"/>
      <c r="Z82" s="10"/>
      <c r="AA82" s="10"/>
      <c r="AB82" s="10"/>
      <c r="AC82" s="10"/>
      <c r="AD82" s="10"/>
      <c r="AE82" s="1"/>
      <c r="AF82" s="2"/>
      <c r="AG82" s="1"/>
      <c r="AH82" s="3"/>
      <c r="AL82" s="4"/>
    </row>
    <row r="83" customFormat="1" spans="1:38">
      <c r="A83" s="5"/>
      <c r="B83" s="5"/>
      <c r="C83" s="9"/>
      <c r="D83" s="9"/>
      <c r="E83" s="9"/>
      <c r="F83" s="9"/>
      <c r="G83" s="9"/>
      <c r="H83" s="10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8"/>
      <c r="X83" s="9"/>
      <c r="Y83" s="10"/>
      <c r="Z83" s="10"/>
      <c r="AA83" s="10"/>
      <c r="AB83" s="10"/>
      <c r="AC83" s="10"/>
      <c r="AD83" s="10"/>
      <c r="AE83" s="1"/>
      <c r="AF83" s="2"/>
      <c r="AG83" s="1"/>
      <c r="AH83" s="3"/>
      <c r="AL83" s="4"/>
    </row>
    <row r="84" customFormat="1" spans="1:38">
      <c r="A84" s="5"/>
      <c r="B84" s="5"/>
      <c r="C84" s="9"/>
      <c r="D84" s="9"/>
      <c r="E84" s="9"/>
      <c r="F84" s="9"/>
      <c r="G84" s="9"/>
      <c r="H84" s="10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8"/>
      <c r="X84" s="9"/>
      <c r="Y84" s="10"/>
      <c r="Z84" s="10"/>
      <c r="AA84" s="10"/>
      <c r="AB84" s="10"/>
      <c r="AC84" s="10"/>
      <c r="AD84" s="10"/>
      <c r="AE84" s="1"/>
      <c r="AF84" s="2"/>
      <c r="AG84" s="1"/>
      <c r="AH84" s="3"/>
      <c r="AL84" s="4"/>
    </row>
    <row r="85" customFormat="1" spans="1:38">
      <c r="A85" s="5"/>
      <c r="B85" s="5"/>
      <c r="C85" s="9"/>
      <c r="D85" s="9"/>
      <c r="E85" s="9"/>
      <c r="F85" s="9"/>
      <c r="G85" s="9"/>
      <c r="H85" s="10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8"/>
      <c r="X85" s="9"/>
      <c r="Y85" s="10"/>
      <c r="Z85" s="10"/>
      <c r="AA85" s="10"/>
      <c r="AB85" s="10"/>
      <c r="AC85" s="10"/>
      <c r="AD85" s="10"/>
      <c r="AE85" s="1"/>
      <c r="AF85" s="2"/>
      <c r="AG85" s="1"/>
      <c r="AH85" s="3"/>
      <c r="AL85" s="4"/>
    </row>
    <row r="86" customFormat="1" spans="1:38">
      <c r="A86" s="5"/>
      <c r="B86" s="5"/>
      <c r="C86" s="9"/>
      <c r="D86" s="9"/>
      <c r="E86" s="9"/>
      <c r="F86" s="9"/>
      <c r="G86" s="9"/>
      <c r="H86" s="10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8"/>
      <c r="X86" s="9"/>
      <c r="Y86" s="10"/>
      <c r="Z86" s="10"/>
      <c r="AA86" s="10"/>
      <c r="AB86" s="10"/>
      <c r="AC86" s="10"/>
      <c r="AD86" s="10"/>
      <c r="AE86" s="1"/>
      <c r="AF86" s="2"/>
      <c r="AG86" s="1"/>
      <c r="AH86" s="3"/>
      <c r="AL86" s="4"/>
    </row>
    <row r="87" customFormat="1" spans="1:38">
      <c r="A87" s="5"/>
      <c r="B87" s="5"/>
      <c r="C87" s="9"/>
      <c r="D87" s="9"/>
      <c r="E87" s="9"/>
      <c r="F87" s="9"/>
      <c r="G87" s="9"/>
      <c r="H87" s="10"/>
      <c r="I87" s="9"/>
      <c r="J87" s="9"/>
      <c r="K87" s="9"/>
      <c r="L87" s="9"/>
      <c r="M87" s="9"/>
      <c r="N87" s="247">
        <v>13.4</v>
      </c>
      <c r="O87" s="247"/>
      <c r="P87" s="247"/>
      <c r="Q87" s="247">
        <v>13.1</v>
      </c>
      <c r="R87" s="247"/>
      <c r="S87" s="247"/>
      <c r="T87" s="247"/>
      <c r="U87" s="247"/>
      <c r="V87" s="247"/>
      <c r="W87" s="247"/>
      <c r="X87" s="247"/>
      <c r="Y87" s="10"/>
      <c r="Z87" s="10"/>
      <c r="AA87" s="10"/>
      <c r="AB87" s="10"/>
      <c r="AC87" s="10"/>
      <c r="AD87" s="10"/>
      <c r="AE87" s="1"/>
      <c r="AF87" s="2"/>
      <c r="AG87" s="1"/>
      <c r="AH87" s="3"/>
      <c r="AL87" s="4"/>
    </row>
    <row r="88" customFormat="1" spans="1:38">
      <c r="A88" s="5"/>
      <c r="B88" s="5"/>
      <c r="C88" s="9"/>
      <c r="D88" s="9"/>
      <c r="E88" s="9"/>
      <c r="F88" s="9"/>
      <c r="G88" s="9"/>
      <c r="H88" s="10"/>
      <c r="I88" s="9"/>
      <c r="J88" s="9"/>
      <c r="K88" s="9"/>
      <c r="L88" s="9"/>
      <c r="M88" s="9"/>
      <c r="N88" s="9">
        <v>0</v>
      </c>
      <c r="O88" s="9">
        <v>0</v>
      </c>
      <c r="P88" s="9"/>
      <c r="Q88" s="9">
        <v>0</v>
      </c>
      <c r="R88" s="9"/>
      <c r="S88" s="9"/>
      <c r="T88" s="9"/>
      <c r="U88" s="9"/>
      <c r="V88" s="9"/>
      <c r="W88" s="8">
        <v>0</v>
      </c>
      <c r="X88" s="9"/>
      <c r="Y88" s="10"/>
      <c r="Z88" s="10"/>
      <c r="AA88" s="10"/>
      <c r="AB88" s="10"/>
      <c r="AC88" s="10"/>
      <c r="AD88" s="10"/>
      <c r="AE88" s="1"/>
      <c r="AF88" s="2"/>
      <c r="AG88" s="1"/>
      <c r="AH88" s="3"/>
      <c r="AL88" s="4"/>
    </row>
    <row r="89" customFormat="1" spans="1:38">
      <c r="A89" s="5"/>
      <c r="B89" s="5"/>
      <c r="C89" s="9"/>
      <c r="D89" s="9"/>
      <c r="E89" s="9"/>
      <c r="F89" s="9"/>
      <c r="G89" s="9"/>
      <c r="H89" s="10"/>
      <c r="I89" s="9"/>
      <c r="J89" s="9"/>
      <c r="K89" s="9"/>
      <c r="L89" s="9"/>
      <c r="M89" s="9"/>
      <c r="N89" s="9">
        <v>0.407</v>
      </c>
      <c r="O89" s="9">
        <v>24582.317381729</v>
      </c>
      <c r="P89" s="9"/>
      <c r="Q89" s="9">
        <v>0.377</v>
      </c>
      <c r="R89" s="9"/>
      <c r="S89" s="9"/>
      <c r="T89" s="9"/>
      <c r="U89" s="9"/>
      <c r="V89" s="9"/>
      <c r="W89" s="8">
        <v>22317.9330945537</v>
      </c>
      <c r="X89" s="9"/>
      <c r="Y89" s="10"/>
      <c r="Z89" s="10"/>
      <c r="AA89" s="10"/>
      <c r="AB89" s="10"/>
      <c r="AC89" s="10"/>
      <c r="AD89" s="10"/>
      <c r="AE89" s="1"/>
      <c r="AF89" s="2"/>
      <c r="AG89" s="1"/>
      <c r="AH89" s="3"/>
      <c r="AL89" s="4"/>
    </row>
    <row r="90" customFormat="1" spans="1:38">
      <c r="A90" s="5"/>
      <c r="B90" s="5"/>
      <c r="C90" s="9"/>
      <c r="D90" s="9"/>
      <c r="E90" s="9"/>
      <c r="F90" s="9"/>
      <c r="G90" s="9"/>
      <c r="H90" s="10"/>
      <c r="I90" s="9"/>
      <c r="J90" s="9"/>
      <c r="K90" s="9"/>
      <c r="L90" s="9"/>
      <c r="M90" s="9"/>
      <c r="N90" s="9">
        <v>0.814</v>
      </c>
      <c r="O90" s="9">
        <v>48078.349541176</v>
      </c>
      <c r="P90" s="9"/>
      <c r="Q90" s="9">
        <v>0.754</v>
      </c>
      <c r="R90" s="9"/>
      <c r="S90" s="9"/>
      <c r="T90" s="9"/>
      <c r="U90" s="9"/>
      <c r="V90" s="9"/>
      <c r="W90" s="8">
        <v>43772.5205604206</v>
      </c>
      <c r="X90" s="9"/>
      <c r="Y90" s="10"/>
      <c r="Z90" s="10"/>
      <c r="AA90" s="10"/>
      <c r="AB90" s="10"/>
      <c r="AC90" s="10"/>
      <c r="AD90" s="10"/>
      <c r="AE90" s="1"/>
      <c r="AF90" s="2"/>
      <c r="AG90" s="1"/>
      <c r="AH90" s="3"/>
      <c r="AL90" s="4"/>
    </row>
    <row r="91" customFormat="1" spans="1:38">
      <c r="A91" s="5"/>
      <c r="B91" s="5"/>
      <c r="C91" s="9"/>
      <c r="D91" s="9"/>
      <c r="E91" s="9"/>
      <c r="F91" s="9"/>
      <c r="G91" s="9"/>
      <c r="H91" s="10"/>
      <c r="I91" s="9"/>
      <c r="J91" s="9"/>
      <c r="K91" s="9"/>
      <c r="L91" s="9"/>
      <c r="M91" s="9"/>
      <c r="N91" s="9">
        <v>1.221</v>
      </c>
      <c r="O91" s="9">
        <v>70608.7948363725</v>
      </c>
      <c r="P91" s="9"/>
      <c r="Q91" s="9">
        <v>1.131</v>
      </c>
      <c r="R91" s="9"/>
      <c r="S91" s="9"/>
      <c r="T91" s="9"/>
      <c r="U91" s="9"/>
      <c r="V91" s="9"/>
      <c r="W91" s="8">
        <v>64459.689689677</v>
      </c>
      <c r="X91" s="9"/>
      <c r="Y91" s="10"/>
      <c r="Z91" s="10"/>
      <c r="AA91" s="10"/>
      <c r="AB91" s="10"/>
      <c r="AC91" s="10"/>
      <c r="AD91" s="10"/>
      <c r="AE91" s="1"/>
      <c r="AF91" s="2"/>
      <c r="AG91" s="1"/>
      <c r="AH91" s="3"/>
      <c r="AL91" s="4"/>
    </row>
    <row r="92" customFormat="1" spans="1:38">
      <c r="A92" s="5"/>
      <c r="B92" s="5"/>
      <c r="C92" s="9"/>
      <c r="D92" s="9"/>
      <c r="E92" s="9"/>
      <c r="F92" s="9"/>
      <c r="G92" s="9"/>
      <c r="H92" s="10"/>
      <c r="I92" s="9"/>
      <c r="J92" s="9"/>
      <c r="K92" s="9"/>
      <c r="L92" s="9"/>
      <c r="M92" s="9"/>
      <c r="N92" s="9">
        <v>1.628</v>
      </c>
      <c r="O92" s="9">
        <v>92294.3516253496</v>
      </c>
      <c r="P92" s="9"/>
      <c r="Q92" s="9">
        <v>1.508</v>
      </c>
      <c r="R92" s="9"/>
      <c r="S92" s="9"/>
      <c r="T92" s="9"/>
      <c r="U92" s="9"/>
      <c r="V92" s="9"/>
      <c r="W92" s="8">
        <v>84475.3677743994</v>
      </c>
      <c r="X92" s="9"/>
      <c r="Y92" s="10"/>
      <c r="Z92" s="10"/>
      <c r="AA92" s="10"/>
      <c r="AB92" s="10"/>
      <c r="AC92" s="10"/>
      <c r="AD92" s="10"/>
      <c r="AE92" s="1"/>
      <c r="AF92" s="2"/>
      <c r="AG92" s="1"/>
      <c r="AH92" s="3"/>
      <c r="AL92" s="4"/>
    </row>
    <row r="93" customFormat="1" spans="1:38">
      <c r="A93" s="5"/>
      <c r="B93" s="5"/>
      <c r="C93" s="9"/>
      <c r="D93" s="9"/>
      <c r="E93" s="9"/>
      <c r="F93" s="9"/>
      <c r="G93" s="9"/>
      <c r="H93" s="10"/>
      <c r="I93" s="9"/>
      <c r="J93" s="9"/>
      <c r="K93" s="9"/>
      <c r="L93" s="9"/>
      <c r="M93" s="9"/>
      <c r="N93" s="9">
        <v>2.035</v>
      </c>
      <c r="O93" s="9">
        <v>113255.718266139</v>
      </c>
      <c r="P93" s="9"/>
      <c r="Q93" s="9">
        <v>1.885</v>
      </c>
      <c r="R93" s="9"/>
      <c r="S93" s="9"/>
      <c r="T93" s="9"/>
      <c r="U93" s="9"/>
      <c r="V93" s="9"/>
      <c r="W93" s="8">
        <v>103915.482106664</v>
      </c>
      <c r="X93" s="9"/>
      <c r="Y93" s="10"/>
      <c r="Z93" s="10"/>
      <c r="AA93" s="10"/>
      <c r="AB93" s="10"/>
      <c r="AC93" s="10"/>
      <c r="AD93" s="10"/>
      <c r="AE93" s="1"/>
      <c r="AF93" s="2"/>
      <c r="AG93" s="1"/>
      <c r="AH93" s="3"/>
      <c r="AL93" s="4"/>
    </row>
    <row r="94" customFormat="1" spans="1:38">
      <c r="A94" s="5"/>
      <c r="B94" s="5"/>
      <c r="C94" s="9"/>
      <c r="D94" s="9"/>
      <c r="E94" s="9"/>
      <c r="F94" s="9"/>
      <c r="G94" s="9"/>
      <c r="H94" s="10"/>
      <c r="I94" s="9"/>
      <c r="J94" s="9"/>
      <c r="K94" s="9"/>
      <c r="L94" s="9"/>
      <c r="M94" s="9"/>
      <c r="N94" s="9">
        <v>2.442</v>
      </c>
      <c r="O94" s="9">
        <v>133613.593116771</v>
      </c>
      <c r="P94" s="248">
        <f>(O95-O94)/(N95-N94)*(2.55-N94)+O94</f>
        <v>138862.214943766</v>
      </c>
      <c r="Q94" s="9">
        <v>2.262</v>
      </c>
      <c r="R94" s="9"/>
      <c r="S94" s="9"/>
      <c r="T94" s="9"/>
      <c r="U94" s="9"/>
      <c r="V94" s="9"/>
      <c r="W94" s="8">
        <v>122875.959978547</v>
      </c>
      <c r="X94" s="9">
        <f>(W95-W94)/(Q95-Q94)*(2.55-Q94)+W94</f>
        <v>137009.217177584</v>
      </c>
      <c r="Y94" s="10"/>
      <c r="Z94" s="10"/>
      <c r="AA94" s="10"/>
      <c r="AB94" s="10"/>
      <c r="AC94" s="10"/>
      <c r="AD94" s="10"/>
      <c r="AE94" s="1"/>
      <c r="AF94" s="2"/>
      <c r="AG94" s="1"/>
      <c r="AH94" s="3"/>
      <c r="AL94" s="4"/>
    </row>
    <row r="95" customFormat="1" spans="1:38">
      <c r="A95" s="5"/>
      <c r="B95" s="5"/>
      <c r="C95" s="9"/>
      <c r="D95" s="9"/>
      <c r="E95" s="9"/>
      <c r="F95" s="9"/>
      <c r="G95" s="9"/>
      <c r="H95" s="10"/>
      <c r="I95" s="9"/>
      <c r="J95" s="9"/>
      <c r="K95" s="9"/>
      <c r="L95" s="9"/>
      <c r="M95" s="9"/>
      <c r="N95" s="9">
        <v>3.0525</v>
      </c>
      <c r="O95" s="9">
        <v>163282.88594437</v>
      </c>
      <c r="P95" s="9"/>
      <c r="Q95" s="9">
        <v>2.8275</v>
      </c>
      <c r="R95" s="9"/>
      <c r="S95" s="9"/>
      <c r="T95" s="9"/>
      <c r="U95" s="9"/>
      <c r="V95" s="9"/>
      <c r="W95" s="8">
        <v>150627.199374573</v>
      </c>
      <c r="X95" s="9"/>
      <c r="Y95" s="10"/>
      <c r="Z95" s="10"/>
      <c r="AA95" s="10"/>
      <c r="AB95" s="10"/>
      <c r="AC95" s="10"/>
      <c r="AD95" s="10"/>
      <c r="AE95" s="1"/>
      <c r="AF95" s="2"/>
      <c r="AG95" s="1"/>
      <c r="AH95" s="3"/>
      <c r="AL95" s="4"/>
    </row>
    <row r="96" customFormat="1" spans="1:38">
      <c r="A96" s="5"/>
      <c r="B96" s="5"/>
      <c r="C96" s="9"/>
      <c r="D96" s="9"/>
      <c r="E96" s="9"/>
      <c r="F96" s="9"/>
      <c r="G96" s="9"/>
      <c r="H96" s="10"/>
      <c r="I96" s="9"/>
      <c r="J96" s="9"/>
      <c r="K96" s="9"/>
      <c r="L96" s="9"/>
      <c r="M96" s="9"/>
      <c r="N96" s="9">
        <v>3.663</v>
      </c>
      <c r="O96" s="9">
        <v>192273.250508043</v>
      </c>
      <c r="P96" s="9"/>
      <c r="Q96" s="9">
        <v>3.393</v>
      </c>
      <c r="R96" s="9"/>
      <c r="S96" s="9"/>
      <c r="T96" s="9"/>
      <c r="U96" s="9"/>
      <c r="V96" s="9"/>
      <c r="W96" s="8">
        <v>177838.84775267</v>
      </c>
      <c r="X96" s="9"/>
      <c r="Y96" s="10"/>
      <c r="Z96" s="10"/>
      <c r="AA96" s="10"/>
      <c r="AB96" s="10"/>
      <c r="AC96" s="10"/>
      <c r="AD96" s="10"/>
      <c r="AE96" s="1"/>
      <c r="AF96" s="2"/>
      <c r="AG96" s="1"/>
      <c r="AH96" s="3"/>
      <c r="AL96" s="4"/>
    </row>
    <row r="97" customFormat="1" spans="1:38">
      <c r="A97" s="5"/>
      <c r="B97" s="5"/>
      <c r="C97" s="9"/>
      <c r="D97" s="9"/>
      <c r="E97" s="9"/>
      <c r="F97" s="9"/>
      <c r="G97" s="9"/>
      <c r="H97" s="10"/>
      <c r="I97" s="9"/>
      <c r="J97" s="9"/>
      <c r="K97" s="9"/>
      <c r="L97" s="9"/>
      <c r="M97" s="9"/>
      <c r="N97" s="9">
        <v>4.07</v>
      </c>
      <c r="O97" s="9">
        <v>211424.141778362</v>
      </c>
      <c r="P97" s="9"/>
      <c r="Q97" s="9">
        <v>3.77</v>
      </c>
      <c r="R97" s="9"/>
      <c r="S97" s="9"/>
      <c r="T97" s="9"/>
      <c r="U97" s="9"/>
      <c r="V97" s="9"/>
      <c r="W97" s="8">
        <v>195840.05270379</v>
      </c>
      <c r="X97" s="9"/>
      <c r="Y97" s="10"/>
      <c r="Z97" s="10"/>
      <c r="AA97" s="10"/>
      <c r="AB97" s="10"/>
      <c r="AC97" s="10"/>
      <c r="AD97" s="10"/>
      <c r="AE97" s="1"/>
      <c r="AF97" s="2"/>
      <c r="AG97" s="1"/>
      <c r="AH97" s="3"/>
      <c r="AL97" s="4"/>
    </row>
    <row r="98" customFormat="1" spans="1:38">
      <c r="A98" s="5"/>
      <c r="B98" s="5"/>
      <c r="C98" s="9"/>
      <c r="D98" s="9"/>
      <c r="E98" s="9"/>
      <c r="F98" s="9"/>
      <c r="G98" s="9"/>
      <c r="H98" s="10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8"/>
      <c r="X98" s="9"/>
      <c r="Y98" s="10"/>
      <c r="Z98" s="10"/>
      <c r="AA98" s="10"/>
      <c r="AB98" s="10"/>
      <c r="AC98" s="10"/>
      <c r="AD98" s="10"/>
      <c r="AE98" s="1"/>
      <c r="AF98" s="2"/>
      <c r="AG98" s="1"/>
      <c r="AH98" s="3"/>
      <c r="AL98" s="4"/>
    </row>
    <row r="99" customFormat="1" spans="1:38">
      <c r="A99" s="5"/>
      <c r="B99" s="5"/>
      <c r="C99" s="9"/>
      <c r="D99" s="9"/>
      <c r="E99" s="9"/>
      <c r="F99" s="9"/>
      <c r="G99" s="9"/>
      <c r="H99" s="10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8"/>
      <c r="X99" s="9"/>
      <c r="Y99" s="10"/>
      <c r="Z99" s="10"/>
      <c r="AA99" s="10"/>
      <c r="AB99" s="10"/>
      <c r="AC99" s="10"/>
      <c r="AD99" s="10"/>
      <c r="AE99" s="1"/>
      <c r="AF99" s="2"/>
      <c r="AG99" s="1"/>
      <c r="AH99" s="3"/>
      <c r="AL99" s="4"/>
    </row>
    <row r="100" customFormat="1" spans="1:38">
      <c r="A100" s="5"/>
      <c r="B100" s="5"/>
      <c r="C100" s="9"/>
      <c r="D100" s="9"/>
      <c r="E100" s="9"/>
      <c r="F100" s="9"/>
      <c r="G100" s="9"/>
      <c r="H100" s="10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8"/>
      <c r="X100" s="9"/>
      <c r="Y100" s="10"/>
      <c r="Z100" s="10"/>
      <c r="AA100" s="10"/>
      <c r="AB100" s="10"/>
      <c r="AC100" s="10"/>
      <c r="AD100" s="10"/>
      <c r="AE100" s="1"/>
      <c r="AF100" s="2"/>
      <c r="AG100" s="1"/>
      <c r="AH100" s="3"/>
      <c r="AL100" s="4"/>
    </row>
    <row r="101" customFormat="1" spans="1:38">
      <c r="A101" s="5"/>
      <c r="B101" s="5"/>
      <c r="C101" s="9"/>
      <c r="D101" s="9"/>
      <c r="E101" s="9"/>
      <c r="F101" s="9"/>
      <c r="G101" s="9"/>
      <c r="H101" s="10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8"/>
      <c r="X101" s="9"/>
      <c r="Y101" s="10"/>
      <c r="Z101" s="10"/>
      <c r="AA101" s="10"/>
      <c r="AB101" s="10"/>
      <c r="AC101" s="10"/>
      <c r="AD101" s="10"/>
      <c r="AE101" s="1"/>
      <c r="AF101" s="2"/>
      <c r="AG101" s="1"/>
      <c r="AH101" s="3"/>
      <c r="AL101" s="4"/>
    </row>
    <row r="102" customFormat="1" spans="1:38">
      <c r="A102" s="5"/>
      <c r="B102" s="5"/>
      <c r="C102" s="9"/>
      <c r="D102" s="9"/>
      <c r="E102" s="9"/>
      <c r="F102" s="9"/>
      <c r="G102" s="9"/>
      <c r="H102" s="10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8"/>
      <c r="X102" s="9"/>
      <c r="Y102" s="10"/>
      <c r="Z102" s="10"/>
      <c r="AA102" s="10"/>
      <c r="AB102" s="10"/>
      <c r="AC102" s="10"/>
      <c r="AD102" s="10"/>
      <c r="AE102" s="1"/>
      <c r="AF102" s="2"/>
      <c r="AG102" s="1"/>
      <c r="AH102" s="3"/>
      <c r="AL102" s="4"/>
    </row>
    <row r="103" customFormat="1" spans="1:38">
      <c r="A103" s="5"/>
      <c r="B103" s="5"/>
      <c r="C103" s="9"/>
      <c r="D103" s="9"/>
      <c r="E103" s="9"/>
      <c r="F103" s="9"/>
      <c r="G103" s="9"/>
      <c r="H103" s="10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8"/>
      <c r="X103" s="9"/>
      <c r="Y103" s="10"/>
      <c r="Z103" s="10"/>
      <c r="AA103" s="10"/>
      <c r="AB103" s="10"/>
      <c r="AC103" s="10"/>
      <c r="AD103" s="10"/>
      <c r="AE103" s="1"/>
      <c r="AF103" s="2"/>
      <c r="AG103" s="1"/>
      <c r="AH103" s="3"/>
      <c r="AL103" s="4"/>
    </row>
    <row r="104" customFormat="1" spans="1:38">
      <c r="A104" s="5"/>
      <c r="B104" s="5"/>
      <c r="C104" s="9"/>
      <c r="D104" s="9"/>
      <c r="E104" s="9"/>
      <c r="F104" s="9"/>
      <c r="G104" s="9"/>
      <c r="H104" s="10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8"/>
      <c r="X104" s="9"/>
      <c r="Y104" s="10"/>
      <c r="Z104" s="10"/>
      <c r="AA104" s="10"/>
      <c r="AB104" s="10"/>
      <c r="AC104" s="10"/>
      <c r="AD104" s="10"/>
      <c r="AE104" s="1"/>
      <c r="AF104" s="2"/>
      <c r="AG104" s="1"/>
      <c r="AH104" s="3"/>
      <c r="AL104" s="4"/>
    </row>
    <row r="105" customFormat="1" spans="1:38">
      <c r="A105" s="5"/>
      <c r="B105" s="5"/>
      <c r="C105" s="9"/>
      <c r="D105" s="9"/>
      <c r="E105" s="9"/>
      <c r="F105" s="9"/>
      <c r="G105" s="9"/>
      <c r="H105" s="10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8"/>
      <c r="X105" s="9"/>
      <c r="Y105" s="10"/>
      <c r="Z105" s="10"/>
      <c r="AA105" s="10"/>
      <c r="AB105" s="10"/>
      <c r="AC105" s="10"/>
      <c r="AD105" s="10"/>
      <c r="AE105" s="1"/>
      <c r="AF105" s="2"/>
      <c r="AG105" s="1"/>
      <c r="AH105" s="3"/>
      <c r="AL105" s="4"/>
    </row>
    <row r="106" customFormat="1" spans="1:38">
      <c r="A106" s="5"/>
      <c r="B106" s="5"/>
      <c r="C106" s="9"/>
      <c r="D106" s="9"/>
      <c r="E106" s="9"/>
      <c r="F106" s="9"/>
      <c r="G106" s="9"/>
      <c r="H106" s="10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8"/>
      <c r="X106" s="9"/>
      <c r="Y106" s="10"/>
      <c r="Z106" s="10"/>
      <c r="AA106" s="10"/>
      <c r="AB106" s="10"/>
      <c r="AC106" s="10"/>
      <c r="AD106" s="10"/>
      <c r="AE106" s="1"/>
      <c r="AF106" s="2"/>
      <c r="AG106" s="1"/>
      <c r="AH106" s="3"/>
      <c r="AL106" s="4"/>
    </row>
    <row r="107" customFormat="1" spans="1:38">
      <c r="A107" s="5"/>
      <c r="B107" s="5"/>
      <c r="C107" s="9"/>
      <c r="D107" s="9"/>
      <c r="E107" s="9"/>
      <c r="F107" s="9"/>
      <c r="G107" s="9"/>
      <c r="H107" s="10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8"/>
      <c r="X107" s="9"/>
      <c r="Y107" s="10"/>
      <c r="Z107" s="10"/>
      <c r="AA107" s="10"/>
      <c r="AB107" s="10"/>
      <c r="AC107" s="10"/>
      <c r="AD107" s="10"/>
      <c r="AE107" s="1"/>
      <c r="AF107" s="2"/>
      <c r="AG107" s="1"/>
      <c r="AH107" s="3"/>
      <c r="AL107" s="4"/>
    </row>
    <row r="108" customFormat="1" spans="1:38">
      <c r="A108" s="5"/>
      <c r="B108" s="5"/>
      <c r="C108" s="9"/>
      <c r="D108" s="9"/>
      <c r="E108" s="9"/>
      <c r="F108" s="9"/>
      <c r="G108" s="9"/>
      <c r="H108" s="10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8"/>
      <c r="X108" s="9"/>
      <c r="Y108" s="10"/>
      <c r="Z108" s="10"/>
      <c r="AA108" s="10"/>
      <c r="AB108" s="10"/>
      <c r="AC108" s="10"/>
      <c r="AD108" s="10"/>
      <c r="AE108" s="1"/>
      <c r="AF108" s="2"/>
      <c r="AG108" s="1"/>
      <c r="AH108" s="3"/>
      <c r="AL108" s="4"/>
    </row>
    <row r="109" customFormat="1" spans="1:38">
      <c r="A109" s="5"/>
      <c r="B109" s="5"/>
      <c r="C109" s="9"/>
      <c r="D109" s="9"/>
      <c r="E109" s="9"/>
      <c r="F109" s="9"/>
      <c r="G109" s="9"/>
      <c r="H109" s="10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8"/>
      <c r="X109" s="9"/>
      <c r="Y109" s="10"/>
      <c r="Z109" s="10"/>
      <c r="AA109" s="10"/>
      <c r="AB109" s="10"/>
      <c r="AC109" s="10"/>
      <c r="AD109" s="10"/>
      <c r="AE109" s="1"/>
      <c r="AF109" s="2"/>
      <c r="AG109" s="1"/>
      <c r="AH109" s="3"/>
      <c r="AL109" s="4"/>
    </row>
    <row r="110" customFormat="1" spans="1:38">
      <c r="A110" s="5"/>
      <c r="B110" s="5"/>
      <c r="C110" s="9"/>
      <c r="D110" s="9"/>
      <c r="E110" s="9"/>
      <c r="F110" s="9"/>
      <c r="G110" s="9"/>
      <c r="H110" s="10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8"/>
      <c r="X110" s="9"/>
      <c r="Y110" s="10"/>
      <c r="Z110" s="10"/>
      <c r="AA110" s="10"/>
      <c r="AB110" s="10"/>
      <c r="AC110" s="10"/>
      <c r="AD110" s="10"/>
      <c r="AE110" s="1"/>
      <c r="AF110" s="2"/>
      <c r="AG110" s="1"/>
      <c r="AH110" s="3"/>
      <c r="AL110" s="4"/>
    </row>
    <row r="111" customFormat="1" spans="1:38">
      <c r="A111" s="5"/>
      <c r="B111" s="5"/>
      <c r="C111" s="9"/>
      <c r="D111" s="9"/>
      <c r="E111" s="9"/>
      <c r="F111" s="9"/>
      <c r="G111" s="9"/>
      <c r="H111" s="10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8"/>
      <c r="X111" s="9"/>
      <c r="Y111" s="10"/>
      <c r="Z111" s="10"/>
      <c r="AA111" s="10"/>
      <c r="AB111" s="10"/>
      <c r="AC111" s="10"/>
      <c r="AD111" s="10"/>
      <c r="AE111" s="1"/>
      <c r="AF111" s="2"/>
      <c r="AG111" s="1"/>
      <c r="AH111" s="3"/>
      <c r="AL111" s="4"/>
    </row>
    <row r="112" customFormat="1" spans="1:38">
      <c r="A112" s="5"/>
      <c r="B112" s="5"/>
      <c r="C112" s="9"/>
      <c r="D112" s="9"/>
      <c r="E112" s="9"/>
      <c r="F112" s="9"/>
      <c r="G112" s="9"/>
      <c r="H112" s="10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8"/>
      <c r="X112" s="9"/>
      <c r="Y112" s="10"/>
      <c r="Z112" s="10"/>
      <c r="AA112" s="10"/>
      <c r="AB112" s="10"/>
      <c r="AC112" s="10"/>
      <c r="AD112" s="10"/>
      <c r="AE112" s="1"/>
      <c r="AF112" s="2"/>
      <c r="AG112" s="1"/>
      <c r="AH112" s="3"/>
      <c r="AL112" s="4"/>
    </row>
    <row r="113" customFormat="1" spans="1:38">
      <c r="A113" s="5"/>
      <c r="B113" s="5"/>
      <c r="C113" s="9"/>
      <c r="D113" s="9"/>
      <c r="E113" s="9"/>
      <c r="F113" s="9"/>
      <c r="G113" s="9"/>
      <c r="H113" s="10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8"/>
      <c r="X113" s="9"/>
      <c r="Y113" s="10"/>
      <c r="Z113" s="10"/>
      <c r="AA113" s="10"/>
      <c r="AB113" s="10"/>
      <c r="AC113" s="10"/>
      <c r="AD113" s="10"/>
      <c r="AE113" s="1"/>
      <c r="AF113" s="2"/>
      <c r="AG113" s="1"/>
      <c r="AH113" s="3"/>
      <c r="AL113" s="4"/>
    </row>
    <row r="114" customFormat="1" spans="1:38">
      <c r="A114" s="5"/>
      <c r="B114" s="5"/>
      <c r="C114" s="9"/>
      <c r="D114" s="9"/>
      <c r="E114" s="9"/>
      <c r="F114" s="9"/>
      <c r="G114" s="9"/>
      <c r="H114" s="10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8"/>
      <c r="X114" s="9"/>
      <c r="Y114" s="10"/>
      <c r="Z114" s="10"/>
      <c r="AA114" s="10"/>
      <c r="AB114" s="10"/>
      <c r="AC114" s="10"/>
      <c r="AD114" s="10"/>
      <c r="AE114" s="1"/>
      <c r="AF114" s="2"/>
      <c r="AG114" s="1"/>
      <c r="AH114" s="3"/>
      <c r="AL114" s="4"/>
    </row>
    <row r="115" customFormat="1" spans="1:38">
      <c r="A115" s="5"/>
      <c r="B115" s="5"/>
      <c r="C115" s="9"/>
      <c r="D115" s="9"/>
      <c r="E115" s="9"/>
      <c r="F115" s="9"/>
      <c r="G115" s="9"/>
      <c r="H115" s="10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8"/>
      <c r="X115" s="9"/>
      <c r="Y115" s="10"/>
      <c r="Z115" s="10"/>
      <c r="AA115" s="10"/>
      <c r="AB115" s="10"/>
      <c r="AC115" s="10"/>
      <c r="AD115" s="10"/>
      <c r="AE115" s="1"/>
      <c r="AF115" s="2"/>
      <c r="AG115" s="1"/>
      <c r="AH115" s="3"/>
      <c r="AL115" s="4"/>
    </row>
    <row r="116" customFormat="1" spans="1:38">
      <c r="A116" s="5"/>
      <c r="B116" s="5"/>
      <c r="C116" s="9"/>
      <c r="D116" s="9"/>
      <c r="E116" s="9"/>
      <c r="F116" s="9"/>
      <c r="G116" s="9"/>
      <c r="H116" s="10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8"/>
      <c r="X116" s="9"/>
      <c r="Y116" s="10"/>
      <c r="Z116" s="10"/>
      <c r="AA116" s="10"/>
      <c r="AB116" s="10"/>
      <c r="AC116" s="10"/>
      <c r="AD116" s="10"/>
      <c r="AE116" s="1"/>
      <c r="AF116" s="2"/>
      <c r="AG116" s="1"/>
      <c r="AH116" s="3"/>
      <c r="AL116" s="4"/>
    </row>
    <row r="117" customFormat="1" spans="1:38">
      <c r="A117" s="5"/>
      <c r="B117" s="5"/>
      <c r="C117" s="9"/>
      <c r="D117" s="9"/>
      <c r="E117" s="9"/>
      <c r="F117" s="9"/>
      <c r="G117" s="9"/>
      <c r="H117" s="10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8"/>
      <c r="X117" s="9"/>
      <c r="Y117" s="10"/>
      <c r="Z117" s="10"/>
      <c r="AA117" s="10"/>
      <c r="AB117" s="10"/>
      <c r="AC117" s="10"/>
      <c r="AD117" s="10"/>
      <c r="AE117" s="1"/>
      <c r="AF117" s="2"/>
      <c r="AG117" s="1"/>
      <c r="AH117" s="3"/>
      <c r="AL117" s="4"/>
    </row>
    <row r="118" customFormat="1" spans="1:38">
      <c r="A118" s="5"/>
      <c r="B118" s="5"/>
      <c r="C118" s="9"/>
      <c r="D118" s="9"/>
      <c r="E118" s="9"/>
      <c r="F118" s="9"/>
      <c r="G118" s="9"/>
      <c r="H118" s="10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8"/>
      <c r="X118" s="9"/>
      <c r="Y118" s="10"/>
      <c r="Z118" s="10"/>
      <c r="AA118" s="10"/>
      <c r="AB118" s="10"/>
      <c r="AC118" s="10"/>
      <c r="AD118" s="10"/>
      <c r="AE118" s="1"/>
      <c r="AF118" s="2"/>
      <c r="AG118" s="1"/>
      <c r="AH118" s="3"/>
      <c r="AL118" s="4"/>
    </row>
    <row r="119" customFormat="1" spans="1:38">
      <c r="A119" s="5"/>
      <c r="B119" s="5"/>
      <c r="C119" s="9"/>
      <c r="D119" s="9"/>
      <c r="E119" s="9"/>
      <c r="F119" s="9"/>
      <c r="G119" s="9"/>
      <c r="H119" s="10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8"/>
      <c r="X119" s="9"/>
      <c r="Y119" s="10"/>
      <c r="Z119" s="10"/>
      <c r="AA119" s="10"/>
      <c r="AB119" s="10"/>
      <c r="AC119" s="10"/>
      <c r="AD119" s="10"/>
      <c r="AE119" s="1"/>
      <c r="AF119" s="2"/>
      <c r="AG119" s="1"/>
      <c r="AH119" s="3"/>
      <c r="AL119" s="4"/>
    </row>
    <row r="120" customFormat="1" spans="1:38">
      <c r="A120" s="5"/>
      <c r="B120" s="5"/>
      <c r="C120" s="9"/>
      <c r="D120" s="9"/>
      <c r="E120" s="9"/>
      <c r="F120" s="9"/>
      <c r="G120" s="9"/>
      <c r="H120" s="10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8"/>
      <c r="X120" s="9"/>
      <c r="Y120" s="10"/>
      <c r="Z120" s="10"/>
      <c r="AA120" s="10"/>
      <c r="AB120" s="10"/>
      <c r="AC120" s="10"/>
      <c r="AD120" s="10"/>
      <c r="AE120" s="1"/>
      <c r="AF120" s="2"/>
      <c r="AG120" s="1"/>
      <c r="AH120" s="3"/>
      <c r="AL120" s="4"/>
    </row>
    <row r="121" customFormat="1" spans="1:38">
      <c r="A121" s="5"/>
      <c r="B121" s="5"/>
      <c r="C121" s="9"/>
      <c r="D121" s="9"/>
      <c r="E121" s="9"/>
      <c r="F121" s="9"/>
      <c r="G121" s="9"/>
      <c r="H121" s="10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8"/>
      <c r="X121" s="9"/>
      <c r="Y121" s="10"/>
      <c r="Z121" s="10"/>
      <c r="AA121" s="10"/>
      <c r="AB121" s="10"/>
      <c r="AC121" s="10"/>
      <c r="AD121" s="10"/>
      <c r="AE121" s="1"/>
      <c r="AF121" s="2"/>
      <c r="AG121" s="1"/>
      <c r="AH121" s="3"/>
      <c r="AL121" s="4"/>
    </row>
    <row r="122" customFormat="1" spans="1:38">
      <c r="A122" s="5"/>
      <c r="B122" s="5"/>
      <c r="C122" s="9"/>
      <c r="D122" s="9"/>
      <c r="E122" s="9"/>
      <c r="F122" s="9"/>
      <c r="G122" s="9"/>
      <c r="H122" s="10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8"/>
      <c r="X122" s="9"/>
      <c r="Y122" s="10"/>
      <c r="Z122" s="10"/>
      <c r="AA122" s="10"/>
      <c r="AB122" s="10"/>
      <c r="AC122" s="10"/>
      <c r="AD122" s="10"/>
      <c r="AE122" s="1"/>
      <c r="AF122" s="2"/>
      <c r="AG122" s="1"/>
      <c r="AH122" s="3"/>
      <c r="AL122" s="4"/>
    </row>
    <row r="123" customFormat="1" spans="1:38">
      <c r="A123" s="5"/>
      <c r="B123" s="5"/>
      <c r="C123" s="9"/>
      <c r="D123" s="9"/>
      <c r="E123" s="9"/>
      <c r="F123" s="9"/>
      <c r="G123" s="9"/>
      <c r="H123" s="10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8"/>
      <c r="X123" s="9"/>
      <c r="Y123" s="10"/>
      <c r="Z123" s="10"/>
      <c r="AA123" s="10"/>
      <c r="AB123" s="10"/>
      <c r="AC123" s="10"/>
      <c r="AD123" s="10"/>
      <c r="AE123" s="1"/>
      <c r="AF123" s="2"/>
      <c r="AG123" s="1"/>
      <c r="AH123" s="3"/>
      <c r="AL123" s="4"/>
    </row>
    <row r="124" customFormat="1" spans="1:38">
      <c r="A124" s="5"/>
      <c r="B124" s="5"/>
      <c r="C124" s="9"/>
      <c r="D124" s="9"/>
      <c r="E124" s="9"/>
      <c r="F124" s="9"/>
      <c r="G124" s="9"/>
      <c r="H124" s="10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8"/>
      <c r="X124" s="9"/>
      <c r="Y124" s="10"/>
      <c r="Z124" s="10"/>
      <c r="AA124" s="10"/>
      <c r="AB124" s="10"/>
      <c r="AC124" s="10"/>
      <c r="AD124" s="10"/>
      <c r="AE124" s="1"/>
      <c r="AF124" s="2"/>
      <c r="AG124" s="1"/>
      <c r="AH124" s="3"/>
      <c r="AL124" s="4"/>
    </row>
    <row r="125" customFormat="1" spans="1:38">
      <c r="A125" s="5"/>
      <c r="B125" s="5"/>
      <c r="C125" s="9"/>
      <c r="D125" s="9"/>
      <c r="E125" s="9"/>
      <c r="F125" s="9"/>
      <c r="G125" s="9"/>
      <c r="H125" s="10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8"/>
      <c r="X125" s="9"/>
      <c r="Y125" s="10"/>
      <c r="Z125" s="10"/>
      <c r="AA125" s="10"/>
      <c r="AB125" s="10"/>
      <c r="AC125" s="10"/>
      <c r="AD125" s="10"/>
      <c r="AE125" s="1"/>
      <c r="AF125" s="2"/>
      <c r="AG125" s="1"/>
      <c r="AH125" s="3"/>
      <c r="AL125" s="4"/>
    </row>
    <row r="126" customFormat="1" spans="1:38">
      <c r="A126" s="5"/>
      <c r="B126" s="5"/>
      <c r="C126" s="9"/>
      <c r="D126" s="9"/>
      <c r="E126" s="9"/>
      <c r="F126" s="9"/>
      <c r="G126" s="9"/>
      <c r="H126" s="10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8"/>
      <c r="X126" s="9"/>
      <c r="Y126" s="10"/>
      <c r="Z126" s="10"/>
      <c r="AA126" s="10"/>
      <c r="AB126" s="10"/>
      <c r="AC126" s="10"/>
      <c r="AD126" s="10"/>
      <c r="AE126" s="1"/>
      <c r="AF126" s="2"/>
      <c r="AG126" s="1"/>
      <c r="AH126" s="3"/>
      <c r="AL126" s="4"/>
    </row>
    <row r="127" customFormat="1" spans="1:38">
      <c r="A127" s="5"/>
      <c r="B127" s="5"/>
      <c r="C127" s="9"/>
      <c r="D127" s="9"/>
      <c r="E127" s="9"/>
      <c r="F127" s="9"/>
      <c r="G127" s="9"/>
      <c r="H127" s="10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8"/>
      <c r="X127" s="9"/>
      <c r="Y127" s="10"/>
      <c r="Z127" s="10"/>
      <c r="AA127" s="10"/>
      <c r="AB127" s="10"/>
      <c r="AC127" s="10"/>
      <c r="AD127" s="10"/>
      <c r="AE127" s="1"/>
      <c r="AF127" s="2"/>
      <c r="AG127" s="1"/>
      <c r="AH127" s="3"/>
      <c r="AL127" s="4"/>
    </row>
    <row r="128" customFormat="1" spans="1:38">
      <c r="A128" s="5"/>
      <c r="B128" s="5"/>
      <c r="C128" s="9"/>
      <c r="D128" s="9"/>
      <c r="E128" s="9"/>
      <c r="F128" s="9"/>
      <c r="G128" s="9"/>
      <c r="H128" s="10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8"/>
      <c r="X128" s="9"/>
      <c r="Y128" s="10"/>
      <c r="Z128" s="10"/>
      <c r="AA128" s="10"/>
      <c r="AB128" s="10"/>
      <c r="AC128" s="10"/>
      <c r="AD128" s="10"/>
      <c r="AE128" s="1"/>
      <c r="AF128" s="2"/>
      <c r="AG128" s="1"/>
      <c r="AH128" s="3"/>
      <c r="AL128" s="4"/>
    </row>
    <row r="129" customFormat="1" spans="1:38">
      <c r="A129" s="5"/>
      <c r="B129" s="5"/>
      <c r="C129" s="9"/>
      <c r="D129" s="9"/>
      <c r="E129" s="9"/>
      <c r="F129" s="9"/>
      <c r="G129" s="9"/>
      <c r="H129" s="10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8"/>
      <c r="X129" s="9"/>
      <c r="Y129" s="10"/>
      <c r="Z129" s="10"/>
      <c r="AA129" s="10"/>
      <c r="AB129" s="10"/>
      <c r="AC129" s="10"/>
      <c r="AD129" s="10"/>
      <c r="AE129" s="1"/>
      <c r="AF129" s="2"/>
      <c r="AG129" s="1"/>
      <c r="AH129" s="3"/>
      <c r="AL129" s="4"/>
    </row>
    <row r="130" customFormat="1" spans="1:38">
      <c r="A130" s="5"/>
      <c r="B130" s="5"/>
      <c r="C130" s="9"/>
      <c r="D130" s="9"/>
      <c r="E130" s="9"/>
      <c r="F130" s="9"/>
      <c r="G130" s="9"/>
      <c r="H130" s="10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8"/>
      <c r="X130" s="9"/>
      <c r="Y130" s="10"/>
      <c r="Z130" s="10"/>
      <c r="AA130" s="10"/>
      <c r="AB130" s="10"/>
      <c r="AC130" s="10"/>
      <c r="AD130" s="10"/>
      <c r="AE130" s="1"/>
      <c r="AF130" s="2"/>
      <c r="AG130" s="1"/>
      <c r="AH130" s="3"/>
      <c r="AL130" s="4"/>
    </row>
    <row r="131" customFormat="1" spans="1:38">
      <c r="A131" s="5"/>
      <c r="B131" s="5"/>
      <c r="C131" s="9"/>
      <c r="D131" s="9"/>
      <c r="E131" s="9"/>
      <c r="F131" s="9"/>
      <c r="G131" s="9"/>
      <c r="H131" s="10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8"/>
      <c r="X131" s="9"/>
      <c r="Y131" s="10"/>
      <c r="Z131" s="10"/>
      <c r="AA131" s="10"/>
      <c r="AB131" s="10"/>
      <c r="AC131" s="10"/>
      <c r="AD131" s="10"/>
      <c r="AE131" s="1"/>
      <c r="AF131" s="2"/>
      <c r="AG131" s="1"/>
      <c r="AH131" s="3"/>
      <c r="AL131" s="4"/>
    </row>
    <row r="132" customFormat="1" spans="1:38">
      <c r="A132" s="5"/>
      <c r="B132" s="5"/>
      <c r="C132" s="9"/>
      <c r="D132" s="9"/>
      <c r="E132" s="9"/>
      <c r="F132" s="9"/>
      <c r="G132" s="9"/>
      <c r="H132" s="10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8"/>
      <c r="X132" s="9"/>
      <c r="Y132" s="10"/>
      <c r="Z132" s="10"/>
      <c r="AA132" s="10"/>
      <c r="AB132" s="10"/>
      <c r="AC132" s="10"/>
      <c r="AD132" s="10"/>
      <c r="AE132" s="1"/>
      <c r="AF132" s="2"/>
      <c r="AG132" s="1"/>
      <c r="AH132" s="3"/>
      <c r="AL132" s="4"/>
    </row>
    <row r="133" customFormat="1" spans="1:38">
      <c r="A133" s="5"/>
      <c r="B133" s="5"/>
      <c r="C133" s="9"/>
      <c r="D133" s="9"/>
      <c r="E133" s="9"/>
      <c r="F133" s="9"/>
      <c r="G133" s="9"/>
      <c r="H133" s="10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8"/>
      <c r="X133" s="9"/>
      <c r="Y133" s="10"/>
      <c r="Z133" s="10"/>
      <c r="AA133" s="10"/>
      <c r="AB133" s="10"/>
      <c r="AC133" s="10"/>
      <c r="AD133" s="10"/>
      <c r="AE133" s="1"/>
      <c r="AF133" s="2"/>
      <c r="AG133" s="1"/>
      <c r="AH133" s="3"/>
      <c r="AL133" s="4"/>
    </row>
    <row r="134" customFormat="1" spans="1:38">
      <c r="A134" s="5"/>
      <c r="B134" s="5"/>
      <c r="C134" s="9"/>
      <c r="D134" s="9"/>
      <c r="E134" s="9"/>
      <c r="F134" s="9"/>
      <c r="G134" s="9"/>
      <c r="H134" s="10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8"/>
      <c r="X134" s="9"/>
      <c r="Y134" s="10"/>
      <c r="Z134" s="10"/>
      <c r="AA134" s="10"/>
      <c r="AB134" s="10"/>
      <c r="AC134" s="10"/>
      <c r="AD134" s="10"/>
      <c r="AE134" s="1"/>
      <c r="AF134" s="2"/>
      <c r="AG134" s="1"/>
      <c r="AH134" s="3"/>
      <c r="AL134" s="4"/>
    </row>
    <row r="135" customFormat="1" spans="1:38">
      <c r="A135" s="5"/>
      <c r="B135" s="5"/>
      <c r="C135" s="9"/>
      <c r="D135" s="9"/>
      <c r="E135" s="9"/>
      <c r="F135" s="9"/>
      <c r="G135" s="9"/>
      <c r="H135" s="10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8"/>
      <c r="X135" s="9"/>
      <c r="Y135" s="10"/>
      <c r="Z135" s="10"/>
      <c r="AA135" s="10"/>
      <c r="AB135" s="10"/>
      <c r="AC135" s="10"/>
      <c r="AD135" s="10"/>
      <c r="AE135" s="1"/>
      <c r="AF135" s="2"/>
      <c r="AG135" s="1"/>
      <c r="AH135" s="3"/>
      <c r="AL135" s="4"/>
    </row>
    <row r="136" customFormat="1" spans="1:38">
      <c r="A136" s="5"/>
      <c r="B136" s="5"/>
      <c r="C136" s="9"/>
      <c r="D136" s="9"/>
      <c r="E136" s="9"/>
      <c r="F136" s="9"/>
      <c r="G136" s="9"/>
      <c r="H136" s="10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8"/>
      <c r="X136" s="9"/>
      <c r="Y136" s="10"/>
      <c r="Z136" s="10"/>
      <c r="AA136" s="10"/>
      <c r="AB136" s="10"/>
      <c r="AC136" s="10"/>
      <c r="AD136" s="10"/>
      <c r="AE136" s="1"/>
      <c r="AF136" s="2"/>
      <c r="AG136" s="1"/>
      <c r="AH136" s="3"/>
      <c r="AL136" s="4"/>
    </row>
    <row r="137" customFormat="1" spans="1:38">
      <c r="A137" s="5"/>
      <c r="B137" s="5"/>
      <c r="C137" s="9"/>
      <c r="D137" s="9"/>
      <c r="E137" s="9"/>
      <c r="F137" s="9"/>
      <c r="G137" s="9"/>
      <c r="H137" s="10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8"/>
      <c r="X137" s="9"/>
      <c r="Y137" s="10"/>
      <c r="Z137" s="10"/>
      <c r="AA137" s="10"/>
      <c r="AB137" s="10"/>
      <c r="AC137" s="10"/>
      <c r="AD137" s="10"/>
      <c r="AE137" s="1"/>
      <c r="AF137" s="2"/>
      <c r="AG137" s="1"/>
      <c r="AH137" s="3"/>
      <c r="AL137" s="4"/>
    </row>
    <row r="138" customFormat="1" spans="1:38">
      <c r="A138" s="5"/>
      <c r="B138" s="5"/>
      <c r="C138" s="9"/>
      <c r="D138" s="9"/>
      <c r="E138" s="9"/>
      <c r="F138" s="9"/>
      <c r="G138" s="9"/>
      <c r="H138" s="10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8"/>
      <c r="X138" s="9"/>
      <c r="Y138" s="10"/>
      <c r="Z138" s="10"/>
      <c r="AA138" s="10"/>
      <c r="AB138" s="10"/>
      <c r="AC138" s="10"/>
      <c r="AD138" s="10"/>
      <c r="AE138" s="1"/>
      <c r="AF138" s="2"/>
      <c r="AG138" s="1"/>
      <c r="AH138" s="3"/>
      <c r="AL138" s="4"/>
    </row>
    <row r="139" customFormat="1" spans="1:38">
      <c r="A139" s="5"/>
      <c r="B139" s="5"/>
      <c r="C139" s="9"/>
      <c r="D139" s="9"/>
      <c r="E139" s="9"/>
      <c r="F139" s="9"/>
      <c r="G139" s="9"/>
      <c r="H139" s="10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8"/>
      <c r="X139" s="9"/>
      <c r="Y139" s="10"/>
      <c r="Z139" s="10"/>
      <c r="AA139" s="10"/>
      <c r="AB139" s="10"/>
      <c r="AC139" s="10"/>
      <c r="AD139" s="10"/>
      <c r="AE139" s="1"/>
      <c r="AF139" s="2"/>
      <c r="AG139" s="1"/>
      <c r="AH139" s="3"/>
      <c r="AL139" s="4"/>
    </row>
    <row r="140" customFormat="1" spans="1:38">
      <c r="A140" s="5"/>
      <c r="B140" s="5"/>
      <c r="C140" s="9"/>
      <c r="D140" s="9"/>
      <c r="E140" s="9"/>
      <c r="F140" s="9"/>
      <c r="G140" s="9"/>
      <c r="H140" s="10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8"/>
      <c r="X140" s="9"/>
      <c r="Y140" s="10"/>
      <c r="Z140" s="10"/>
      <c r="AA140" s="10"/>
      <c r="AB140" s="10"/>
      <c r="AC140" s="10"/>
      <c r="AD140" s="10"/>
      <c r="AE140" s="1"/>
      <c r="AF140" s="2"/>
      <c r="AG140" s="1"/>
      <c r="AH140" s="3"/>
      <c r="AL140" s="4"/>
    </row>
    <row r="141" customFormat="1" spans="1:38">
      <c r="A141" s="5"/>
      <c r="B141" s="5"/>
      <c r="C141" s="9"/>
      <c r="D141" s="9"/>
      <c r="E141" s="9"/>
      <c r="F141" s="9"/>
      <c r="G141" s="9"/>
      <c r="H141" s="10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8"/>
      <c r="X141" s="9"/>
      <c r="Y141" s="10"/>
      <c r="Z141" s="10"/>
      <c r="AA141" s="10"/>
      <c r="AB141" s="10"/>
      <c r="AC141" s="10"/>
      <c r="AD141" s="10"/>
      <c r="AE141" s="1"/>
      <c r="AF141" s="2"/>
      <c r="AG141" s="1"/>
      <c r="AH141" s="3"/>
      <c r="AL141" s="4"/>
    </row>
    <row r="142" customFormat="1" spans="1:38">
      <c r="A142" s="5"/>
      <c r="B142" s="5"/>
      <c r="C142" s="9"/>
      <c r="D142" s="9"/>
      <c r="E142" s="9"/>
      <c r="F142" s="9"/>
      <c r="G142" s="9"/>
      <c r="H142" s="10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8"/>
      <c r="X142" s="9"/>
      <c r="Y142" s="10"/>
      <c r="Z142" s="10"/>
      <c r="AA142" s="10"/>
      <c r="AB142" s="10"/>
      <c r="AC142" s="10"/>
      <c r="AD142" s="10"/>
      <c r="AE142" s="1"/>
      <c r="AF142" s="2"/>
      <c r="AG142" s="1"/>
      <c r="AH142" s="3"/>
      <c r="AL142" s="4"/>
    </row>
    <row r="143" customFormat="1" spans="1:38">
      <c r="A143" s="5"/>
      <c r="B143" s="5"/>
      <c r="C143" s="9"/>
      <c r="D143" s="9"/>
      <c r="E143" s="9"/>
      <c r="F143" s="9"/>
      <c r="G143" s="9"/>
      <c r="H143" s="10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8"/>
      <c r="X143" s="9"/>
      <c r="Y143" s="10"/>
      <c r="Z143" s="10"/>
      <c r="AA143" s="10"/>
      <c r="AB143" s="10"/>
      <c r="AC143" s="10"/>
      <c r="AD143" s="10"/>
      <c r="AE143" s="1"/>
      <c r="AF143" s="2"/>
      <c r="AG143" s="1"/>
      <c r="AH143" s="3"/>
      <c r="AL143" s="4"/>
    </row>
    <row r="144" customFormat="1" spans="1:38">
      <c r="A144" s="5"/>
      <c r="B144" s="5"/>
      <c r="C144" s="9"/>
      <c r="D144" s="9"/>
      <c r="E144" s="9"/>
      <c r="F144" s="9"/>
      <c r="G144" s="9"/>
      <c r="H144" s="10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8"/>
      <c r="X144" s="9"/>
      <c r="Y144" s="10"/>
      <c r="Z144" s="10"/>
      <c r="AA144" s="10"/>
      <c r="AB144" s="10"/>
      <c r="AC144" s="10"/>
      <c r="AD144" s="10"/>
      <c r="AE144" s="1"/>
      <c r="AF144" s="2"/>
      <c r="AG144" s="1"/>
      <c r="AH144" s="3"/>
      <c r="AL144" s="4"/>
    </row>
    <row r="145" customFormat="1" spans="1:38">
      <c r="A145" s="5"/>
      <c r="B145" s="5"/>
      <c r="C145" s="9"/>
      <c r="D145" s="9"/>
      <c r="E145" s="9"/>
      <c r="F145" s="9"/>
      <c r="G145" s="9"/>
      <c r="H145" s="10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8"/>
      <c r="X145" s="9"/>
      <c r="Y145" s="10"/>
      <c r="Z145" s="10"/>
      <c r="AA145" s="10"/>
      <c r="AB145" s="10"/>
      <c r="AC145" s="10"/>
      <c r="AD145" s="10"/>
      <c r="AE145" s="1"/>
      <c r="AF145" s="2"/>
      <c r="AG145" s="1"/>
      <c r="AH145" s="3"/>
      <c r="AL145" s="4"/>
    </row>
    <row r="146" customFormat="1" spans="1:38">
      <c r="A146" s="5"/>
      <c r="B146" s="5"/>
      <c r="C146" s="9"/>
      <c r="D146" s="9"/>
      <c r="E146" s="9"/>
      <c r="F146" s="9"/>
      <c r="G146" s="9"/>
      <c r="H146" s="10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8"/>
      <c r="X146" s="9"/>
      <c r="Y146" s="10"/>
      <c r="Z146" s="10"/>
      <c r="AA146" s="10"/>
      <c r="AB146" s="10"/>
      <c r="AC146" s="10"/>
      <c r="AD146" s="10"/>
      <c r="AE146" s="1"/>
      <c r="AF146" s="2"/>
      <c r="AG146" s="1"/>
      <c r="AH146" s="3"/>
      <c r="AL146" s="4"/>
    </row>
    <row r="147" customFormat="1" spans="1:38">
      <c r="A147" s="5"/>
      <c r="B147" s="5"/>
      <c r="C147" s="9"/>
      <c r="D147" s="9"/>
      <c r="E147" s="9"/>
      <c r="F147" s="9"/>
      <c r="G147" s="9"/>
      <c r="H147" s="10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8"/>
      <c r="X147" s="9"/>
      <c r="Y147" s="10"/>
      <c r="Z147" s="10"/>
      <c r="AA147" s="10"/>
      <c r="AB147" s="10"/>
      <c r="AC147" s="10"/>
      <c r="AD147" s="10"/>
      <c r="AE147" s="1"/>
      <c r="AF147" s="2"/>
      <c r="AG147" s="1"/>
      <c r="AH147" s="3"/>
      <c r="AL147" s="4"/>
    </row>
    <row r="148" customFormat="1" spans="1:38">
      <c r="A148" s="5"/>
      <c r="B148" s="5"/>
      <c r="C148" s="9"/>
      <c r="D148" s="9"/>
      <c r="E148" s="9"/>
      <c r="F148" s="9"/>
      <c r="G148" s="9"/>
      <c r="H148" s="10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8"/>
      <c r="X148" s="9"/>
      <c r="Y148" s="10"/>
      <c r="Z148" s="10"/>
      <c r="AA148" s="10"/>
      <c r="AB148" s="10"/>
      <c r="AC148" s="10"/>
      <c r="AD148" s="10"/>
      <c r="AE148" s="1"/>
      <c r="AF148" s="2"/>
      <c r="AG148" s="1"/>
      <c r="AH148" s="3"/>
      <c r="AL148" s="4"/>
    </row>
    <row r="149" customFormat="1" spans="1:38">
      <c r="A149" s="5"/>
      <c r="B149" s="5"/>
      <c r="C149" s="9"/>
      <c r="D149" s="9"/>
      <c r="E149" s="9"/>
      <c r="F149" s="9"/>
      <c r="G149" s="9"/>
      <c r="H149" s="10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8"/>
      <c r="X149" s="9"/>
      <c r="Y149" s="10"/>
      <c r="Z149" s="10"/>
      <c r="AA149" s="10"/>
      <c r="AB149" s="10"/>
      <c r="AC149" s="10"/>
      <c r="AD149" s="10"/>
      <c r="AE149" s="1"/>
      <c r="AF149" s="2"/>
      <c r="AG149" s="1"/>
      <c r="AH149" s="3"/>
      <c r="AL149" s="4"/>
    </row>
    <row r="150" customFormat="1" spans="1:38">
      <c r="A150" s="5"/>
      <c r="B150" s="5"/>
      <c r="C150" s="9"/>
      <c r="D150" s="9"/>
      <c r="E150" s="9"/>
      <c r="F150" s="9"/>
      <c r="G150" s="9"/>
      <c r="H150" s="10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8"/>
      <c r="X150" s="9"/>
      <c r="Y150" s="10"/>
      <c r="Z150" s="10"/>
      <c r="AA150" s="10"/>
      <c r="AB150" s="10"/>
      <c r="AC150" s="10"/>
      <c r="AD150" s="10"/>
      <c r="AE150" s="1"/>
      <c r="AF150" s="2"/>
      <c r="AG150" s="1"/>
      <c r="AH150" s="3"/>
      <c r="AL150" s="4"/>
    </row>
    <row r="151" customFormat="1" spans="1:38">
      <c r="A151" s="5"/>
      <c r="B151" s="5"/>
      <c r="C151" s="9"/>
      <c r="D151" s="9"/>
      <c r="E151" s="9"/>
      <c r="F151" s="9"/>
      <c r="G151" s="9"/>
      <c r="H151" s="10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8"/>
      <c r="X151" s="9"/>
      <c r="Y151" s="10"/>
      <c r="Z151" s="10"/>
      <c r="AA151" s="10"/>
      <c r="AB151" s="10"/>
      <c r="AC151" s="10"/>
      <c r="AD151" s="10"/>
      <c r="AE151" s="1"/>
      <c r="AF151" s="2"/>
      <c r="AG151" s="1"/>
      <c r="AH151" s="3"/>
      <c r="AL151" s="4"/>
    </row>
    <row r="152" customFormat="1" spans="1:38">
      <c r="A152" s="5"/>
      <c r="B152" s="5"/>
      <c r="C152" s="9"/>
      <c r="D152" s="9"/>
      <c r="E152" s="9"/>
      <c r="F152" s="9"/>
      <c r="G152" s="9"/>
      <c r="H152" s="10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8"/>
      <c r="X152" s="9"/>
      <c r="Y152" s="10"/>
      <c r="Z152" s="10"/>
      <c r="AA152" s="10"/>
      <c r="AB152" s="10"/>
      <c r="AC152" s="10"/>
      <c r="AD152" s="10"/>
      <c r="AE152" s="1"/>
      <c r="AF152" s="2"/>
      <c r="AG152" s="1"/>
      <c r="AH152" s="3"/>
      <c r="AL152" s="4"/>
    </row>
    <row r="153" customFormat="1" spans="1:38">
      <c r="A153" s="5"/>
      <c r="B153" s="5"/>
      <c r="C153" s="9"/>
      <c r="D153" s="9"/>
      <c r="E153" s="9"/>
      <c r="F153" s="9"/>
      <c r="G153" s="9"/>
      <c r="H153" s="10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8"/>
      <c r="X153" s="9"/>
      <c r="Y153" s="10"/>
      <c r="Z153" s="10"/>
      <c r="AA153" s="10"/>
      <c r="AB153" s="10"/>
      <c r="AC153" s="10"/>
      <c r="AD153" s="10"/>
      <c r="AE153" s="1"/>
      <c r="AF153" s="2"/>
      <c r="AG153" s="1"/>
      <c r="AH153" s="3"/>
      <c r="AL153" s="4"/>
    </row>
    <row r="154" customFormat="1" spans="1:38">
      <c r="A154" s="5"/>
      <c r="B154" s="5"/>
      <c r="C154" s="9"/>
      <c r="D154" s="9"/>
      <c r="E154" s="9"/>
      <c r="F154" s="9"/>
      <c r="G154" s="9"/>
      <c r="H154" s="10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8"/>
      <c r="X154" s="9"/>
      <c r="Y154" s="10"/>
      <c r="Z154" s="10"/>
      <c r="AA154" s="10"/>
      <c r="AB154" s="10"/>
      <c r="AC154" s="10"/>
      <c r="AD154" s="10"/>
      <c r="AE154" s="1"/>
      <c r="AF154" s="2"/>
      <c r="AG154" s="1"/>
      <c r="AH154" s="3"/>
      <c r="AL154" s="4"/>
    </row>
    <row r="155" customFormat="1" spans="1:38">
      <c r="A155" s="5"/>
      <c r="B155" s="5"/>
      <c r="C155" s="9"/>
      <c r="D155" s="9"/>
      <c r="E155" s="9"/>
      <c r="F155" s="9"/>
      <c r="G155" s="9"/>
      <c r="H155" s="10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8"/>
      <c r="X155" s="9"/>
      <c r="Y155" s="10"/>
      <c r="Z155" s="10"/>
      <c r="AA155" s="10"/>
      <c r="AB155" s="10"/>
      <c r="AC155" s="10"/>
      <c r="AD155" s="10"/>
      <c r="AE155" s="1"/>
      <c r="AF155" s="2"/>
      <c r="AG155" s="1"/>
      <c r="AH155" s="3"/>
      <c r="AL155" s="4"/>
    </row>
    <row r="156" customFormat="1" spans="1:38">
      <c r="A156" s="5"/>
      <c r="B156" s="5"/>
      <c r="C156" s="9"/>
      <c r="D156" s="9"/>
      <c r="E156" s="9"/>
      <c r="F156" s="9"/>
      <c r="G156" s="9"/>
      <c r="H156" s="10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8"/>
      <c r="X156" s="9"/>
      <c r="Y156" s="10"/>
      <c r="Z156" s="10"/>
      <c r="AA156" s="10"/>
      <c r="AB156" s="10"/>
      <c r="AC156" s="10"/>
      <c r="AD156" s="10"/>
      <c r="AE156" s="1"/>
      <c r="AF156" s="2"/>
      <c r="AG156" s="1"/>
      <c r="AH156" s="3"/>
      <c r="AL156" s="4"/>
    </row>
    <row r="157" customFormat="1" spans="1:38">
      <c r="A157" s="5"/>
      <c r="B157" s="5"/>
      <c r="C157" s="9"/>
      <c r="D157" s="9"/>
      <c r="E157" s="9"/>
      <c r="F157" s="9"/>
      <c r="G157" s="9"/>
      <c r="H157" s="10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8"/>
      <c r="X157" s="9"/>
      <c r="Y157" s="10"/>
      <c r="Z157" s="10"/>
      <c r="AA157" s="10"/>
      <c r="AB157" s="10"/>
      <c r="AC157" s="10"/>
      <c r="AD157" s="10"/>
      <c r="AE157" s="1"/>
      <c r="AF157" s="2"/>
      <c r="AG157" s="1"/>
      <c r="AH157" s="3"/>
      <c r="AL157" s="4"/>
    </row>
    <row r="158" customFormat="1" spans="1:38">
      <c r="A158" s="5"/>
      <c r="B158" s="5"/>
      <c r="C158" s="9"/>
      <c r="D158" s="9"/>
      <c r="E158" s="9"/>
      <c r="F158" s="9"/>
      <c r="G158" s="9"/>
      <c r="H158" s="10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8"/>
      <c r="X158" s="9"/>
      <c r="Y158" s="10"/>
      <c r="Z158" s="10"/>
      <c r="AA158" s="10"/>
      <c r="AB158" s="10"/>
      <c r="AC158" s="10"/>
      <c r="AD158" s="10"/>
      <c r="AE158" s="1"/>
      <c r="AF158" s="2"/>
      <c r="AG158" s="1"/>
      <c r="AH158" s="3"/>
      <c r="AL158" s="4"/>
    </row>
    <row r="159" customFormat="1" spans="1:38">
      <c r="A159" s="5"/>
      <c r="B159" s="5"/>
      <c r="C159" s="9"/>
      <c r="D159" s="9"/>
      <c r="E159" s="9"/>
      <c r="F159" s="9"/>
      <c r="G159" s="9"/>
      <c r="H159" s="10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8"/>
      <c r="X159" s="9"/>
      <c r="Y159" s="10"/>
      <c r="Z159" s="10"/>
      <c r="AA159" s="10"/>
      <c r="AB159" s="10"/>
      <c r="AC159" s="10"/>
      <c r="AD159" s="10"/>
      <c r="AE159" s="1"/>
      <c r="AF159" s="2"/>
      <c r="AG159" s="1"/>
      <c r="AH159" s="3"/>
      <c r="AL159" s="4"/>
    </row>
    <row r="160" customFormat="1" spans="1:38">
      <c r="A160" s="5"/>
      <c r="B160" s="5"/>
      <c r="C160" s="9"/>
      <c r="D160" s="9"/>
      <c r="E160" s="9"/>
      <c r="F160" s="9"/>
      <c r="G160" s="9"/>
      <c r="H160" s="10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8"/>
      <c r="X160" s="9"/>
      <c r="Y160" s="10"/>
      <c r="Z160" s="10"/>
      <c r="AA160" s="10"/>
      <c r="AB160" s="10"/>
      <c r="AC160" s="10"/>
      <c r="AD160" s="10"/>
      <c r="AE160" s="1"/>
      <c r="AF160" s="2"/>
      <c r="AG160" s="1"/>
      <c r="AH160" s="3"/>
      <c r="AL160" s="4"/>
    </row>
    <row r="161" customFormat="1" spans="1:38">
      <c r="A161" s="5"/>
      <c r="B161" s="5"/>
      <c r="C161" s="9"/>
      <c r="D161" s="9"/>
      <c r="E161" s="9"/>
      <c r="F161" s="9"/>
      <c r="G161" s="9"/>
      <c r="H161" s="10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8"/>
      <c r="X161" s="9"/>
      <c r="Y161" s="10"/>
      <c r="Z161" s="10"/>
      <c r="AA161" s="10"/>
      <c r="AB161" s="10"/>
      <c r="AC161" s="10"/>
      <c r="AD161" s="10"/>
      <c r="AE161" s="1"/>
      <c r="AF161" s="2"/>
      <c r="AG161" s="1"/>
      <c r="AH161" s="3"/>
      <c r="AL161" s="4"/>
    </row>
    <row r="162" customFormat="1" spans="1:38">
      <c r="A162" s="5"/>
      <c r="B162" s="5"/>
      <c r="C162" s="9"/>
      <c r="D162" s="9"/>
      <c r="E162" s="9"/>
      <c r="F162" s="9"/>
      <c r="G162" s="9"/>
      <c r="H162" s="10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8"/>
      <c r="X162" s="9"/>
      <c r="Y162" s="10"/>
      <c r="Z162" s="10"/>
      <c r="AA162" s="10"/>
      <c r="AB162" s="10"/>
      <c r="AC162" s="10"/>
      <c r="AD162" s="10"/>
      <c r="AE162" s="1"/>
      <c r="AF162" s="2"/>
      <c r="AG162" s="1"/>
      <c r="AH162" s="3"/>
      <c r="AL162" s="4"/>
    </row>
    <row r="163" customFormat="1" spans="1:38">
      <c r="A163" s="5"/>
      <c r="B163" s="5"/>
      <c r="C163" s="9"/>
      <c r="D163" s="9"/>
      <c r="E163" s="9"/>
      <c r="F163" s="9"/>
      <c r="G163" s="9"/>
      <c r="H163" s="10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8"/>
      <c r="X163" s="9"/>
      <c r="Y163" s="10"/>
      <c r="Z163" s="10"/>
      <c r="AA163" s="10"/>
      <c r="AB163" s="10"/>
      <c r="AC163" s="10"/>
      <c r="AD163" s="10"/>
      <c r="AE163" s="1"/>
      <c r="AF163" s="2"/>
      <c r="AG163" s="1"/>
      <c r="AH163" s="3"/>
      <c r="AL163" s="4"/>
    </row>
    <row r="164" customFormat="1" spans="1:38">
      <c r="A164" s="5"/>
      <c r="B164" s="5"/>
      <c r="C164" s="9"/>
      <c r="D164" s="9"/>
      <c r="E164" s="9"/>
      <c r="F164" s="9"/>
      <c r="G164" s="9"/>
      <c r="H164" s="10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8"/>
      <c r="X164" s="9"/>
      <c r="Y164" s="10"/>
      <c r="Z164" s="10"/>
      <c r="AA164" s="10"/>
      <c r="AB164" s="10"/>
      <c r="AC164" s="10"/>
      <c r="AD164" s="10"/>
      <c r="AE164" s="1"/>
      <c r="AF164" s="2"/>
      <c r="AG164" s="1"/>
      <c r="AH164" s="3"/>
      <c r="AL164" s="4"/>
    </row>
    <row r="165" customFormat="1" spans="1:38">
      <c r="A165" s="5"/>
      <c r="B165" s="5"/>
      <c r="C165" s="9"/>
      <c r="D165" s="9"/>
      <c r="E165" s="9"/>
      <c r="F165" s="9"/>
      <c r="G165" s="9"/>
      <c r="H165" s="10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8"/>
      <c r="X165" s="9"/>
      <c r="Y165" s="10"/>
      <c r="Z165" s="10"/>
      <c r="AA165" s="10"/>
      <c r="AB165" s="10"/>
      <c r="AC165" s="10"/>
      <c r="AD165" s="10"/>
      <c r="AE165" s="1"/>
      <c r="AF165" s="2"/>
      <c r="AG165" s="1"/>
      <c r="AH165" s="3"/>
      <c r="AL165" s="4"/>
    </row>
    <row r="166" customFormat="1" spans="1:38">
      <c r="A166" s="5"/>
      <c r="B166" s="5"/>
      <c r="C166" s="9"/>
      <c r="D166" s="9"/>
      <c r="E166" s="9"/>
      <c r="F166" s="9"/>
      <c r="G166" s="9"/>
      <c r="H166" s="10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8"/>
      <c r="X166" s="9"/>
      <c r="Y166" s="10"/>
      <c r="Z166" s="10"/>
      <c r="AA166" s="10"/>
      <c r="AB166" s="10"/>
      <c r="AC166" s="10"/>
      <c r="AD166" s="10"/>
      <c r="AE166" s="1"/>
      <c r="AF166" s="2"/>
      <c r="AG166" s="1"/>
      <c r="AH166" s="3"/>
      <c r="AL166" s="4"/>
    </row>
    <row r="167" customFormat="1" spans="1:38">
      <c r="A167" s="5"/>
      <c r="B167" s="5"/>
      <c r="C167" s="9"/>
      <c r="D167" s="9"/>
      <c r="E167" s="9"/>
      <c r="F167" s="9"/>
      <c r="G167" s="9"/>
      <c r="H167" s="10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8"/>
      <c r="X167" s="9"/>
      <c r="Y167" s="10"/>
      <c r="Z167" s="10"/>
      <c r="AA167" s="10"/>
      <c r="AB167" s="10"/>
      <c r="AC167" s="10"/>
      <c r="AD167" s="10"/>
      <c r="AE167" s="1"/>
      <c r="AF167" s="2"/>
      <c r="AG167" s="1"/>
      <c r="AH167" s="3"/>
      <c r="AL167" s="4"/>
    </row>
    <row r="168" customFormat="1" spans="1:38">
      <c r="A168" s="5"/>
      <c r="B168" s="5"/>
      <c r="C168" s="9"/>
      <c r="D168" s="9"/>
      <c r="E168" s="9"/>
      <c r="F168" s="9"/>
      <c r="G168" s="9"/>
      <c r="H168" s="10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8"/>
      <c r="X168" s="9"/>
      <c r="Y168" s="10"/>
      <c r="Z168" s="10"/>
      <c r="AA168" s="10"/>
      <c r="AB168" s="10"/>
      <c r="AC168" s="10"/>
      <c r="AD168" s="10"/>
      <c r="AE168" s="1"/>
      <c r="AF168" s="2"/>
      <c r="AG168" s="1"/>
      <c r="AH168" s="3"/>
      <c r="AL168" s="4"/>
    </row>
    <row r="169" customFormat="1" spans="1:38">
      <c r="A169" s="5"/>
      <c r="B169" s="5"/>
      <c r="C169" s="9"/>
      <c r="D169" s="9"/>
      <c r="E169" s="9"/>
      <c r="F169" s="9"/>
      <c r="G169" s="9"/>
      <c r="H169" s="10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8"/>
      <c r="X169" s="9"/>
      <c r="Y169" s="10"/>
      <c r="Z169" s="10"/>
      <c r="AA169" s="10"/>
      <c r="AB169" s="10"/>
      <c r="AC169" s="10"/>
      <c r="AD169" s="10"/>
      <c r="AE169" s="1"/>
      <c r="AF169" s="2"/>
      <c r="AG169" s="1"/>
      <c r="AH169" s="3"/>
      <c r="AL169" s="4"/>
    </row>
    <row r="170" customFormat="1" spans="1:38">
      <c r="A170" s="5"/>
      <c r="B170" s="5"/>
      <c r="C170" s="9"/>
      <c r="D170" s="9"/>
      <c r="E170" s="9"/>
      <c r="F170" s="9"/>
      <c r="G170" s="9"/>
      <c r="H170" s="10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8"/>
      <c r="X170" s="9"/>
      <c r="Y170" s="10"/>
      <c r="Z170" s="10"/>
      <c r="AA170" s="10"/>
      <c r="AB170" s="10"/>
      <c r="AC170" s="10"/>
      <c r="AD170" s="10"/>
      <c r="AE170" s="1"/>
      <c r="AF170" s="2"/>
      <c r="AG170" s="1"/>
      <c r="AH170" s="3"/>
      <c r="AL170" s="4"/>
    </row>
    <row r="171" customFormat="1" spans="1:38">
      <c r="A171" s="5"/>
      <c r="B171" s="5"/>
      <c r="C171" s="9"/>
      <c r="D171" s="9"/>
      <c r="E171" s="9"/>
      <c r="F171" s="9"/>
      <c r="G171" s="9"/>
      <c r="H171" s="10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8"/>
      <c r="X171" s="9"/>
      <c r="Y171" s="10"/>
      <c r="Z171" s="10"/>
      <c r="AA171" s="10"/>
      <c r="AB171" s="10"/>
      <c r="AC171" s="10"/>
      <c r="AD171" s="10"/>
      <c r="AE171" s="1"/>
      <c r="AF171" s="2"/>
      <c r="AG171" s="1"/>
      <c r="AH171" s="3"/>
      <c r="AL171" s="4"/>
    </row>
    <row r="172" customFormat="1" spans="1:38">
      <c r="A172" s="5"/>
      <c r="B172" s="5"/>
      <c r="C172" s="9"/>
      <c r="D172" s="9"/>
      <c r="E172" s="9"/>
      <c r="F172" s="9"/>
      <c r="G172" s="9"/>
      <c r="H172" s="10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8"/>
      <c r="X172" s="9"/>
      <c r="Y172" s="10"/>
      <c r="Z172" s="10"/>
      <c r="AA172" s="10"/>
      <c r="AB172" s="10"/>
      <c r="AC172" s="10"/>
      <c r="AD172" s="10"/>
      <c r="AE172" s="1"/>
      <c r="AF172" s="2"/>
      <c r="AG172" s="1"/>
      <c r="AH172" s="3"/>
      <c r="AL172" s="4"/>
    </row>
    <row r="173" customFormat="1" spans="1:38">
      <c r="A173" s="5"/>
      <c r="B173" s="5"/>
      <c r="C173" s="9"/>
      <c r="D173" s="9"/>
      <c r="E173" s="9"/>
      <c r="F173" s="9"/>
      <c r="G173" s="9"/>
      <c r="H173" s="10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8"/>
      <c r="X173" s="9"/>
      <c r="Y173" s="10"/>
      <c r="Z173" s="10"/>
      <c r="AA173" s="10"/>
      <c r="AB173" s="10"/>
      <c r="AC173" s="10"/>
      <c r="AD173" s="10"/>
      <c r="AE173" s="1"/>
      <c r="AF173" s="2"/>
      <c r="AG173" s="1"/>
      <c r="AH173" s="3"/>
      <c r="AL173" s="4"/>
    </row>
    <row r="174" customFormat="1" spans="1:38">
      <c r="A174" s="5"/>
      <c r="B174" s="5"/>
      <c r="C174" s="9"/>
      <c r="D174" s="9"/>
      <c r="E174" s="9"/>
      <c r="F174" s="9"/>
      <c r="G174" s="9"/>
      <c r="H174" s="10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8"/>
      <c r="X174" s="9"/>
      <c r="Y174" s="10"/>
      <c r="Z174" s="10"/>
      <c r="AA174" s="10"/>
      <c r="AB174" s="10"/>
      <c r="AC174" s="10"/>
      <c r="AD174" s="10"/>
      <c r="AE174" s="1"/>
      <c r="AF174" s="2"/>
      <c r="AG174" s="1"/>
      <c r="AH174" s="3"/>
      <c r="AL174" s="4"/>
    </row>
    <row r="175" customFormat="1" spans="1:38">
      <c r="A175" s="5"/>
      <c r="B175" s="5"/>
      <c r="C175" s="9"/>
      <c r="D175" s="9"/>
      <c r="E175" s="9"/>
      <c r="F175" s="9"/>
      <c r="G175" s="9"/>
      <c r="H175" s="10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8"/>
      <c r="X175" s="9"/>
      <c r="Y175" s="10"/>
      <c r="Z175" s="10"/>
      <c r="AA175" s="10"/>
      <c r="AB175" s="10"/>
      <c r="AC175" s="10"/>
      <c r="AD175" s="10"/>
      <c r="AE175" s="1"/>
      <c r="AF175" s="2"/>
      <c r="AG175" s="1"/>
      <c r="AH175" s="3"/>
      <c r="AL175" s="4"/>
    </row>
    <row r="176" customFormat="1" spans="1:38">
      <c r="A176" s="5"/>
      <c r="B176" s="5"/>
      <c r="C176" s="9"/>
      <c r="D176" s="9"/>
      <c r="E176" s="9"/>
      <c r="F176" s="9"/>
      <c r="G176" s="9"/>
      <c r="H176" s="10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8"/>
      <c r="X176" s="9"/>
      <c r="Y176" s="10"/>
      <c r="Z176" s="10"/>
      <c r="AA176" s="10"/>
      <c r="AB176" s="10"/>
      <c r="AC176" s="10"/>
      <c r="AD176" s="10"/>
      <c r="AE176" s="1"/>
      <c r="AF176" s="2"/>
      <c r="AG176" s="1"/>
      <c r="AH176" s="3"/>
      <c r="AL176" s="4"/>
    </row>
    <row r="177" customFormat="1" spans="1:38">
      <c r="A177" s="5"/>
      <c r="B177" s="5"/>
      <c r="C177" s="9"/>
      <c r="D177" s="9"/>
      <c r="E177" s="9"/>
      <c r="F177" s="9"/>
      <c r="G177" s="9"/>
      <c r="H177" s="10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8"/>
      <c r="X177" s="9"/>
      <c r="Y177" s="10"/>
      <c r="Z177" s="10"/>
      <c r="AA177" s="10"/>
      <c r="AB177" s="10"/>
      <c r="AC177" s="10"/>
      <c r="AD177" s="10"/>
      <c r="AE177" s="1"/>
      <c r="AF177" s="2"/>
      <c r="AG177" s="1"/>
      <c r="AH177" s="3"/>
      <c r="AL177" s="4"/>
    </row>
    <row r="178" customFormat="1" spans="1:38">
      <c r="A178" s="5"/>
      <c r="B178" s="5"/>
      <c r="C178" s="9"/>
      <c r="D178" s="9"/>
      <c r="E178" s="9"/>
      <c r="F178" s="9"/>
      <c r="G178" s="9"/>
      <c r="H178" s="10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8"/>
      <c r="X178" s="9"/>
      <c r="Y178" s="10"/>
      <c r="Z178" s="10"/>
      <c r="AA178" s="10"/>
      <c r="AB178" s="10"/>
      <c r="AC178" s="10"/>
      <c r="AD178" s="10"/>
      <c r="AE178" s="1"/>
      <c r="AF178" s="2"/>
      <c r="AG178" s="1"/>
      <c r="AH178" s="3"/>
      <c r="AL178" s="4"/>
    </row>
    <row r="179" customFormat="1" spans="1:38">
      <c r="A179" s="5"/>
      <c r="B179" s="5"/>
      <c r="C179" s="9"/>
      <c r="D179" s="9"/>
      <c r="E179" s="9"/>
      <c r="F179" s="9"/>
      <c r="G179" s="9"/>
      <c r="H179" s="10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8"/>
      <c r="X179" s="9"/>
      <c r="Y179" s="10"/>
      <c r="Z179" s="10"/>
      <c r="AA179" s="10"/>
      <c r="AB179" s="10"/>
      <c r="AC179" s="10"/>
      <c r="AD179" s="10"/>
      <c r="AE179" s="1"/>
      <c r="AF179" s="2"/>
      <c r="AG179" s="1"/>
      <c r="AH179" s="3"/>
      <c r="AL179" s="4"/>
    </row>
    <row r="180" customFormat="1" spans="1:38">
      <c r="A180" s="5"/>
      <c r="B180" s="5"/>
      <c r="C180" s="9"/>
      <c r="D180" s="9"/>
      <c r="E180" s="9"/>
      <c r="F180" s="9"/>
      <c r="G180" s="9"/>
      <c r="H180" s="10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8"/>
      <c r="X180" s="9"/>
      <c r="Y180" s="10"/>
      <c r="Z180" s="10"/>
      <c r="AA180" s="10"/>
      <c r="AB180" s="10"/>
      <c r="AC180" s="10"/>
      <c r="AD180" s="10"/>
      <c r="AE180" s="1"/>
      <c r="AF180" s="2"/>
      <c r="AG180" s="1"/>
      <c r="AH180" s="3"/>
      <c r="AL180" s="4"/>
    </row>
    <row r="181" customFormat="1" spans="1:38">
      <c r="A181" s="5"/>
      <c r="B181" s="5"/>
      <c r="C181" s="9"/>
      <c r="D181" s="9"/>
      <c r="E181" s="9"/>
      <c r="F181" s="9"/>
      <c r="G181" s="9"/>
      <c r="H181" s="10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8"/>
      <c r="X181" s="9"/>
      <c r="Y181" s="10"/>
      <c r="Z181" s="10"/>
      <c r="AA181" s="10"/>
      <c r="AB181" s="10"/>
      <c r="AC181" s="10"/>
      <c r="AD181" s="10"/>
      <c r="AE181" s="1"/>
      <c r="AF181" s="2"/>
      <c r="AG181" s="1"/>
      <c r="AH181" s="3"/>
      <c r="AL181" s="4"/>
    </row>
    <row r="182" customFormat="1" spans="1:38">
      <c r="A182" s="5"/>
      <c r="B182" s="5"/>
      <c r="C182" s="9"/>
      <c r="D182" s="9"/>
      <c r="E182" s="9"/>
      <c r="F182" s="9"/>
      <c r="G182" s="9"/>
      <c r="H182" s="10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8"/>
      <c r="X182" s="9"/>
      <c r="Y182" s="10"/>
      <c r="Z182" s="10"/>
      <c r="AA182" s="10"/>
      <c r="AB182" s="10"/>
      <c r="AC182" s="10"/>
      <c r="AD182" s="10"/>
      <c r="AE182" s="1"/>
      <c r="AF182" s="2"/>
      <c r="AG182" s="1"/>
      <c r="AH182" s="3"/>
      <c r="AL182" s="4"/>
    </row>
    <row r="183" customFormat="1" spans="1:38">
      <c r="A183" s="5"/>
      <c r="B183" s="5"/>
      <c r="C183" s="9"/>
      <c r="D183" s="9"/>
      <c r="E183" s="9"/>
      <c r="F183" s="9"/>
      <c r="G183" s="9"/>
      <c r="H183" s="10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8"/>
      <c r="X183" s="9"/>
      <c r="Y183" s="10"/>
      <c r="Z183" s="10"/>
      <c r="AA183" s="10"/>
      <c r="AB183" s="10"/>
      <c r="AC183" s="10"/>
      <c r="AD183" s="10"/>
      <c r="AE183" s="1"/>
      <c r="AF183" s="2"/>
      <c r="AG183" s="1"/>
      <c r="AH183" s="3"/>
      <c r="AL183" s="4"/>
    </row>
    <row r="184" customFormat="1" spans="1:38">
      <c r="A184" s="5"/>
      <c r="B184" s="5"/>
      <c r="C184" s="9"/>
      <c r="D184" s="9"/>
      <c r="E184" s="9"/>
      <c r="F184" s="9"/>
      <c r="G184" s="9"/>
      <c r="H184" s="10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8"/>
      <c r="X184" s="9"/>
      <c r="Y184" s="10"/>
      <c r="Z184" s="10"/>
      <c r="AA184" s="10"/>
      <c r="AB184" s="10"/>
      <c r="AC184" s="10"/>
      <c r="AD184" s="10"/>
      <c r="AE184" s="1"/>
      <c r="AF184" s="2"/>
      <c r="AG184" s="1"/>
      <c r="AH184" s="3"/>
      <c r="AL184" s="4"/>
    </row>
    <row r="185" customFormat="1" spans="1:38">
      <c r="A185" s="5"/>
      <c r="B185" s="5"/>
      <c r="C185" s="9"/>
      <c r="D185" s="9"/>
      <c r="E185" s="9"/>
      <c r="F185" s="9"/>
      <c r="G185" s="9"/>
      <c r="H185" s="10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8"/>
      <c r="X185" s="9"/>
      <c r="Y185" s="10"/>
      <c r="Z185" s="10"/>
      <c r="AA185" s="10"/>
      <c r="AB185" s="10"/>
      <c r="AC185" s="10"/>
      <c r="AD185" s="10"/>
      <c r="AE185" s="1"/>
      <c r="AF185" s="2"/>
      <c r="AG185" s="1"/>
      <c r="AH185" s="3"/>
      <c r="AL185" s="4"/>
    </row>
    <row r="186" customFormat="1" spans="1:38">
      <c r="A186" s="5"/>
      <c r="B186" s="5"/>
      <c r="C186" s="9"/>
      <c r="D186" s="9"/>
      <c r="E186" s="9"/>
      <c r="F186" s="9"/>
      <c r="G186" s="9"/>
      <c r="H186" s="10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8"/>
      <c r="X186" s="9"/>
      <c r="Y186" s="10"/>
      <c r="Z186" s="10"/>
      <c r="AA186" s="10"/>
      <c r="AB186" s="10"/>
      <c r="AC186" s="10"/>
      <c r="AD186" s="10"/>
      <c r="AE186" s="1"/>
      <c r="AF186" s="2"/>
      <c r="AG186" s="1"/>
      <c r="AH186" s="3"/>
      <c r="AL186" s="4"/>
    </row>
    <row r="187" customFormat="1" spans="1:38">
      <c r="A187" s="5"/>
      <c r="B187" s="5"/>
      <c r="C187" s="9"/>
      <c r="D187" s="9"/>
      <c r="E187" s="9"/>
      <c r="F187" s="9"/>
      <c r="G187" s="9"/>
      <c r="H187" s="10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8"/>
      <c r="X187" s="9"/>
      <c r="Y187" s="10"/>
      <c r="Z187" s="10"/>
      <c r="AA187" s="10"/>
      <c r="AB187" s="10"/>
      <c r="AC187" s="10"/>
      <c r="AD187" s="10"/>
      <c r="AE187" s="1"/>
      <c r="AF187" s="2"/>
      <c r="AG187" s="1"/>
      <c r="AH187" s="3"/>
      <c r="AL187" s="4"/>
    </row>
    <row r="188" customFormat="1" spans="1:38">
      <c r="A188" s="5"/>
      <c r="B188" s="5"/>
      <c r="C188" s="9"/>
      <c r="D188" s="9"/>
      <c r="E188" s="9"/>
      <c r="F188" s="9"/>
      <c r="G188" s="9"/>
      <c r="H188" s="10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8"/>
      <c r="X188" s="9"/>
      <c r="Y188" s="10"/>
      <c r="Z188" s="10"/>
      <c r="AA188" s="10"/>
      <c r="AB188" s="10"/>
      <c r="AC188" s="10"/>
      <c r="AD188" s="10"/>
      <c r="AE188" s="1"/>
      <c r="AF188" s="2"/>
      <c r="AG188" s="1"/>
      <c r="AH188" s="3"/>
      <c r="AL188" s="4"/>
    </row>
    <row r="189" customFormat="1" spans="1:38">
      <c r="A189" s="5"/>
      <c r="B189" s="5"/>
      <c r="C189" s="9"/>
      <c r="D189" s="9"/>
      <c r="E189" s="9"/>
      <c r="F189" s="9"/>
      <c r="G189" s="9"/>
      <c r="H189" s="10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8"/>
      <c r="X189" s="9"/>
      <c r="Y189" s="10"/>
      <c r="Z189" s="10"/>
      <c r="AA189" s="10"/>
      <c r="AB189" s="10"/>
      <c r="AC189" s="10"/>
      <c r="AD189" s="10"/>
      <c r="AE189" s="1"/>
      <c r="AF189" s="2"/>
      <c r="AG189" s="1"/>
      <c r="AH189" s="3"/>
      <c r="AL189" s="4"/>
    </row>
    <row r="190" customFormat="1" spans="1:38">
      <c r="A190" s="5"/>
      <c r="B190" s="5"/>
      <c r="C190" s="9"/>
      <c r="D190" s="9"/>
      <c r="E190" s="9"/>
      <c r="F190" s="9"/>
      <c r="G190" s="9"/>
      <c r="H190" s="10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8"/>
      <c r="X190" s="9"/>
      <c r="Y190" s="10"/>
      <c r="Z190" s="10"/>
      <c r="AA190" s="10"/>
      <c r="AB190" s="10"/>
      <c r="AC190" s="10"/>
      <c r="AD190" s="10"/>
      <c r="AE190" s="1"/>
      <c r="AF190" s="2"/>
      <c r="AG190" s="1"/>
      <c r="AH190" s="3"/>
      <c r="AL190" s="4"/>
    </row>
    <row r="191" customFormat="1" spans="1:38">
      <c r="A191" s="5"/>
      <c r="B191" s="5"/>
      <c r="C191" s="9"/>
      <c r="D191" s="9"/>
      <c r="E191" s="9"/>
      <c r="F191" s="9"/>
      <c r="G191" s="9"/>
      <c r="H191" s="10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8"/>
      <c r="X191" s="9"/>
      <c r="Y191" s="10"/>
      <c r="Z191" s="10"/>
      <c r="AA191" s="10"/>
      <c r="AB191" s="10"/>
      <c r="AC191" s="10"/>
      <c r="AD191" s="10"/>
      <c r="AE191" s="1"/>
      <c r="AF191" s="2"/>
      <c r="AG191" s="1"/>
      <c r="AH191" s="3"/>
      <c r="AL191" s="4"/>
    </row>
    <row r="192" customFormat="1" spans="1:38">
      <c r="A192" s="5"/>
      <c r="B192" s="5"/>
      <c r="C192" s="9"/>
      <c r="D192" s="9"/>
      <c r="E192" s="9"/>
      <c r="F192" s="9"/>
      <c r="G192" s="9"/>
      <c r="H192" s="10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8"/>
      <c r="X192" s="9"/>
      <c r="Y192" s="10"/>
      <c r="Z192" s="10"/>
      <c r="AA192" s="10"/>
      <c r="AB192" s="10"/>
      <c r="AC192" s="10"/>
      <c r="AD192" s="10"/>
      <c r="AE192" s="1"/>
      <c r="AF192" s="2"/>
      <c r="AG192" s="1"/>
      <c r="AH192" s="3"/>
      <c r="AL192" s="4"/>
    </row>
    <row r="193" customFormat="1" spans="1:38">
      <c r="A193" s="5"/>
      <c r="B193" s="5"/>
      <c r="C193" s="9"/>
      <c r="D193" s="9"/>
      <c r="E193" s="9"/>
      <c r="F193" s="9"/>
      <c r="G193" s="9"/>
      <c r="H193" s="10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8"/>
      <c r="X193" s="9"/>
      <c r="Y193" s="10"/>
      <c r="Z193" s="10"/>
      <c r="AA193" s="10"/>
      <c r="AB193" s="10"/>
      <c r="AC193" s="10"/>
      <c r="AD193" s="10"/>
      <c r="AE193" s="1"/>
      <c r="AF193" s="2"/>
      <c r="AG193" s="1"/>
      <c r="AH193" s="3"/>
      <c r="AL193" s="4"/>
    </row>
    <row r="194" customFormat="1" spans="1:38">
      <c r="A194" s="5"/>
      <c r="B194" s="5"/>
      <c r="C194" s="9"/>
      <c r="D194" s="9"/>
      <c r="E194" s="9"/>
      <c r="F194" s="9"/>
      <c r="G194" s="9"/>
      <c r="H194" s="10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8"/>
      <c r="X194" s="9"/>
      <c r="Y194" s="10"/>
      <c r="Z194" s="10"/>
      <c r="AA194" s="10"/>
      <c r="AB194" s="10"/>
      <c r="AC194" s="10"/>
      <c r="AD194" s="10"/>
      <c r="AE194" s="1"/>
      <c r="AF194" s="2"/>
      <c r="AG194" s="1"/>
      <c r="AH194" s="3"/>
      <c r="AL194" s="4"/>
    </row>
    <row r="195" customFormat="1" spans="1:38">
      <c r="A195" s="5"/>
      <c r="B195" s="5"/>
      <c r="C195" s="9"/>
      <c r="D195" s="9"/>
      <c r="E195" s="9"/>
      <c r="F195" s="9"/>
      <c r="G195" s="9"/>
      <c r="H195" s="10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8"/>
      <c r="X195" s="9"/>
      <c r="Y195" s="10"/>
      <c r="Z195" s="10"/>
      <c r="AA195" s="10"/>
      <c r="AB195" s="10"/>
      <c r="AC195" s="10"/>
      <c r="AD195" s="10"/>
      <c r="AE195" s="1"/>
      <c r="AF195" s="2"/>
      <c r="AG195" s="1"/>
      <c r="AH195" s="3"/>
      <c r="AL195" s="4"/>
    </row>
    <row r="196" customFormat="1" spans="1:38">
      <c r="A196" s="5"/>
      <c r="B196" s="5"/>
      <c r="C196" s="9"/>
      <c r="D196" s="9"/>
      <c r="E196" s="9"/>
      <c r="F196" s="9"/>
      <c r="G196" s="9"/>
      <c r="H196" s="10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8"/>
      <c r="X196" s="9"/>
      <c r="Y196" s="10"/>
      <c r="Z196" s="10"/>
      <c r="AA196" s="10"/>
      <c r="AB196" s="10"/>
      <c r="AC196" s="10"/>
      <c r="AD196" s="10"/>
      <c r="AE196" s="1"/>
      <c r="AF196" s="2"/>
      <c r="AG196" s="1"/>
      <c r="AH196" s="3"/>
      <c r="AL196" s="4"/>
    </row>
    <row r="197" customFormat="1" spans="1:38">
      <c r="A197" s="5"/>
      <c r="B197" s="5"/>
      <c r="C197" s="9"/>
      <c r="D197" s="9"/>
      <c r="E197" s="9"/>
      <c r="F197" s="9"/>
      <c r="G197" s="9"/>
      <c r="H197" s="10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8"/>
      <c r="X197" s="9"/>
      <c r="Y197" s="10"/>
      <c r="Z197" s="10"/>
      <c r="AA197" s="10"/>
      <c r="AB197" s="10"/>
      <c r="AC197" s="10"/>
      <c r="AD197" s="10"/>
      <c r="AE197" s="1"/>
      <c r="AF197" s="2"/>
      <c r="AG197" s="1"/>
      <c r="AH197" s="3"/>
      <c r="AL197" s="4"/>
    </row>
    <row r="198" customFormat="1" spans="1:38">
      <c r="A198" s="5"/>
      <c r="B198" s="5"/>
      <c r="C198" s="9"/>
      <c r="D198" s="9"/>
      <c r="E198" s="9"/>
      <c r="F198" s="9"/>
      <c r="G198" s="9"/>
      <c r="H198" s="10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8"/>
      <c r="X198" s="9"/>
      <c r="Y198" s="10"/>
      <c r="Z198" s="10"/>
      <c r="AA198" s="10"/>
      <c r="AB198" s="10"/>
      <c r="AC198" s="10"/>
      <c r="AD198" s="10"/>
      <c r="AE198" s="1"/>
      <c r="AF198" s="2"/>
      <c r="AG198" s="1"/>
      <c r="AH198" s="3"/>
      <c r="AL198" s="4"/>
    </row>
    <row r="199" customFormat="1" spans="1:38">
      <c r="A199" s="5"/>
      <c r="B199" s="5"/>
      <c r="C199" s="9"/>
      <c r="D199" s="9"/>
      <c r="E199" s="9"/>
      <c r="F199" s="9"/>
      <c r="G199" s="9"/>
      <c r="H199" s="10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8"/>
      <c r="X199" s="9"/>
      <c r="Y199" s="10"/>
      <c r="Z199" s="10"/>
      <c r="AA199" s="10"/>
      <c r="AB199" s="10"/>
      <c r="AC199" s="10"/>
      <c r="AD199" s="10"/>
      <c r="AE199" s="1"/>
      <c r="AF199" s="2"/>
      <c r="AG199" s="1"/>
      <c r="AH199" s="3"/>
      <c r="AL199" s="4"/>
    </row>
    <row r="200" customFormat="1" spans="1:38">
      <c r="A200" s="5"/>
      <c r="B200" s="5"/>
      <c r="C200" s="9"/>
      <c r="D200" s="9"/>
      <c r="E200" s="9"/>
      <c r="F200" s="9"/>
      <c r="G200" s="9"/>
      <c r="H200" s="10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8"/>
      <c r="X200" s="9"/>
      <c r="Y200" s="10"/>
      <c r="Z200" s="10"/>
      <c r="AA200" s="10"/>
      <c r="AB200" s="10"/>
      <c r="AC200" s="10"/>
      <c r="AD200" s="10"/>
      <c r="AE200" s="1"/>
      <c r="AF200" s="2"/>
      <c r="AG200" s="1"/>
      <c r="AH200" s="3"/>
      <c r="AL200" s="4"/>
    </row>
    <row r="201" customFormat="1" spans="1:38">
      <c r="A201" s="5"/>
      <c r="B201" s="5"/>
      <c r="C201" s="9"/>
      <c r="D201" s="9"/>
      <c r="E201" s="9"/>
      <c r="F201" s="9"/>
      <c r="G201" s="9"/>
      <c r="H201" s="10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8"/>
      <c r="X201" s="9"/>
      <c r="Y201" s="10"/>
      <c r="Z201" s="10"/>
      <c r="AA201" s="10"/>
      <c r="AB201" s="10"/>
      <c r="AC201" s="10"/>
      <c r="AD201" s="10"/>
      <c r="AE201" s="1"/>
      <c r="AF201" s="2"/>
      <c r="AG201" s="1"/>
      <c r="AH201" s="3"/>
      <c r="AL201" s="4"/>
    </row>
    <row r="202" customFormat="1" spans="1:38">
      <c r="A202" s="5"/>
      <c r="B202" s="5"/>
      <c r="C202" s="9"/>
      <c r="D202" s="9"/>
      <c r="E202" s="9"/>
      <c r="F202" s="9"/>
      <c r="G202" s="9"/>
      <c r="H202" s="10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8"/>
      <c r="X202" s="9"/>
      <c r="Y202" s="10"/>
      <c r="Z202" s="10"/>
      <c r="AA202" s="10"/>
      <c r="AB202" s="10"/>
      <c r="AC202" s="10"/>
      <c r="AD202" s="10"/>
      <c r="AE202" s="1"/>
      <c r="AF202" s="2"/>
      <c r="AG202" s="1"/>
      <c r="AH202" s="3"/>
      <c r="AL202" s="4"/>
    </row>
    <row r="203" customFormat="1" spans="1:38">
      <c r="A203" s="5"/>
      <c r="B203" s="5"/>
      <c r="C203" s="9"/>
      <c r="D203" s="9"/>
      <c r="E203" s="9"/>
      <c r="F203" s="9"/>
      <c r="G203" s="9"/>
      <c r="H203" s="10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8"/>
      <c r="X203" s="9"/>
      <c r="Y203" s="10"/>
      <c r="Z203" s="10"/>
      <c r="AA203" s="10"/>
      <c r="AB203" s="10"/>
      <c r="AC203" s="10"/>
      <c r="AD203" s="10"/>
      <c r="AE203" s="1"/>
      <c r="AF203" s="2"/>
      <c r="AG203" s="1"/>
      <c r="AH203" s="3"/>
      <c r="AL203" s="4"/>
    </row>
    <row r="204" customFormat="1" spans="1:38">
      <c r="A204" s="5"/>
      <c r="B204" s="5"/>
      <c r="C204" s="9"/>
      <c r="D204" s="9"/>
      <c r="E204" s="9"/>
      <c r="F204" s="9"/>
      <c r="G204" s="9"/>
      <c r="H204" s="10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8"/>
      <c r="X204" s="9"/>
      <c r="Y204" s="10"/>
      <c r="Z204" s="10"/>
      <c r="AA204" s="10"/>
      <c r="AB204" s="10"/>
      <c r="AC204" s="10"/>
      <c r="AD204" s="10"/>
      <c r="AE204" s="1"/>
      <c r="AF204" s="2"/>
      <c r="AG204" s="1"/>
      <c r="AH204" s="3"/>
      <c r="AL204" s="4"/>
    </row>
    <row r="205" customFormat="1" spans="1:38">
      <c r="A205" s="5"/>
      <c r="B205" s="5"/>
      <c r="C205" s="9"/>
      <c r="D205" s="9"/>
      <c r="E205" s="9"/>
      <c r="F205" s="9"/>
      <c r="G205" s="9"/>
      <c r="H205" s="10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8"/>
      <c r="X205" s="9"/>
      <c r="Y205" s="10"/>
      <c r="Z205" s="10"/>
      <c r="AA205" s="10"/>
      <c r="AB205" s="10"/>
      <c r="AC205" s="10"/>
      <c r="AD205" s="10"/>
      <c r="AE205" s="1"/>
      <c r="AF205" s="2"/>
      <c r="AG205" s="1"/>
      <c r="AH205" s="3"/>
      <c r="AL205" s="4"/>
    </row>
    <row r="206" customFormat="1" spans="1:38">
      <c r="A206" s="5"/>
      <c r="B206" s="5"/>
      <c r="C206" s="9"/>
      <c r="D206" s="9"/>
      <c r="E206" s="9"/>
      <c r="F206" s="9"/>
      <c r="G206" s="9"/>
      <c r="H206" s="10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8"/>
      <c r="X206" s="9"/>
      <c r="Y206" s="10"/>
      <c r="Z206" s="10"/>
      <c r="AA206" s="10"/>
      <c r="AB206" s="10"/>
      <c r="AC206" s="10"/>
      <c r="AD206" s="10"/>
      <c r="AE206" s="1"/>
      <c r="AF206" s="2"/>
      <c r="AG206" s="1"/>
      <c r="AH206" s="3"/>
      <c r="AL206" s="4"/>
    </row>
    <row r="207" customFormat="1" spans="1:38">
      <c r="A207" s="5"/>
      <c r="B207" s="5"/>
      <c r="C207" s="9"/>
      <c r="D207" s="9"/>
      <c r="E207" s="9"/>
      <c r="F207" s="9"/>
      <c r="G207" s="9"/>
      <c r="H207" s="10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8"/>
      <c r="X207" s="9"/>
      <c r="Y207" s="10"/>
      <c r="Z207" s="10"/>
      <c r="AA207" s="10"/>
      <c r="AB207" s="10"/>
      <c r="AC207" s="10"/>
      <c r="AD207" s="10"/>
      <c r="AE207" s="1"/>
      <c r="AF207" s="2"/>
      <c r="AG207" s="1"/>
      <c r="AH207" s="3"/>
      <c r="AL207" s="4"/>
    </row>
    <row r="208" customFormat="1" spans="1:38">
      <c r="A208" s="5"/>
      <c r="B208" s="5"/>
      <c r="C208" s="9"/>
      <c r="D208" s="9"/>
      <c r="E208" s="9"/>
      <c r="F208" s="9"/>
      <c r="G208" s="9"/>
      <c r="H208" s="10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8"/>
      <c r="X208" s="9"/>
      <c r="Y208" s="10"/>
      <c r="Z208" s="10"/>
      <c r="AA208" s="10"/>
      <c r="AB208" s="10"/>
      <c r="AC208" s="10"/>
      <c r="AD208" s="10"/>
      <c r="AE208" s="1"/>
      <c r="AF208" s="2"/>
      <c r="AG208" s="1"/>
      <c r="AH208" s="3"/>
      <c r="AL208" s="4"/>
    </row>
    <row r="209" customFormat="1" spans="1:38">
      <c r="A209" s="5"/>
      <c r="B209" s="5"/>
      <c r="C209" s="9"/>
      <c r="D209" s="9"/>
      <c r="E209" s="9"/>
      <c r="F209" s="9"/>
      <c r="G209" s="9"/>
      <c r="H209" s="10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8"/>
      <c r="X209" s="9"/>
      <c r="Y209" s="10"/>
      <c r="Z209" s="10"/>
      <c r="AA209" s="10"/>
      <c r="AB209" s="10"/>
      <c r="AC209" s="10"/>
      <c r="AD209" s="10"/>
      <c r="AE209" s="1"/>
      <c r="AF209" s="2"/>
      <c r="AG209" s="1"/>
      <c r="AH209" s="3"/>
      <c r="AL209" s="4"/>
    </row>
    <row r="210" customFormat="1" spans="1:38">
      <c r="A210" s="5"/>
      <c r="B210" s="5"/>
      <c r="C210" s="9"/>
      <c r="D210" s="9"/>
      <c r="E210" s="9"/>
      <c r="F210" s="9"/>
      <c r="G210" s="9"/>
      <c r="H210" s="10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8"/>
      <c r="X210" s="9"/>
      <c r="Y210" s="10"/>
      <c r="Z210" s="10"/>
      <c r="AA210" s="10"/>
      <c r="AB210" s="10"/>
      <c r="AC210" s="10"/>
      <c r="AD210" s="10"/>
      <c r="AE210" s="1"/>
      <c r="AF210" s="2"/>
      <c r="AG210" s="1"/>
      <c r="AH210" s="3"/>
      <c r="AL210" s="4"/>
    </row>
    <row r="211" customFormat="1" spans="1:38">
      <c r="A211" s="5"/>
      <c r="B211" s="5"/>
      <c r="C211" s="9"/>
      <c r="D211" s="9"/>
      <c r="E211" s="9"/>
      <c r="F211" s="9"/>
      <c r="G211" s="9"/>
      <c r="H211" s="10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8"/>
      <c r="X211" s="9"/>
      <c r="Y211" s="10"/>
      <c r="Z211" s="10"/>
      <c r="AA211" s="10"/>
      <c r="AB211" s="10"/>
      <c r="AC211" s="10"/>
      <c r="AD211" s="10"/>
      <c r="AE211" s="1"/>
      <c r="AF211" s="2"/>
      <c r="AG211" s="1"/>
      <c r="AH211" s="3"/>
      <c r="AL211" s="4"/>
    </row>
    <row r="212" customFormat="1" spans="1:38">
      <c r="A212" s="5"/>
      <c r="B212" s="5"/>
      <c r="C212" s="9"/>
      <c r="D212" s="9"/>
      <c r="E212" s="9"/>
      <c r="F212" s="9"/>
      <c r="G212" s="9"/>
      <c r="H212" s="10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8"/>
      <c r="X212" s="9"/>
      <c r="Y212" s="10"/>
      <c r="Z212" s="10"/>
      <c r="AA212" s="10"/>
      <c r="AB212" s="10"/>
      <c r="AC212" s="10"/>
      <c r="AD212" s="10"/>
      <c r="AE212" s="1"/>
      <c r="AF212" s="2"/>
      <c r="AG212" s="1"/>
      <c r="AH212" s="3"/>
      <c r="AL212" s="4"/>
    </row>
    <row r="213" customFormat="1" spans="1:38">
      <c r="A213" s="5"/>
      <c r="B213" s="5"/>
      <c r="C213" s="9"/>
      <c r="D213" s="9"/>
      <c r="E213" s="9"/>
      <c r="F213" s="9"/>
      <c r="G213" s="9"/>
      <c r="H213" s="10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8"/>
      <c r="X213" s="9"/>
      <c r="Y213" s="10"/>
      <c r="Z213" s="10"/>
      <c r="AA213" s="10"/>
      <c r="AB213" s="10"/>
      <c r="AC213" s="10"/>
      <c r="AD213" s="10"/>
      <c r="AE213" s="1"/>
      <c r="AF213" s="2"/>
      <c r="AG213" s="1"/>
      <c r="AH213" s="3"/>
      <c r="AL213" s="4"/>
    </row>
    <row r="214" customFormat="1" spans="1:38">
      <c r="A214" s="5"/>
      <c r="B214" s="5"/>
      <c r="C214" s="9"/>
      <c r="D214" s="9"/>
      <c r="E214" s="9"/>
      <c r="F214" s="9"/>
      <c r="G214" s="9"/>
      <c r="H214" s="10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8"/>
      <c r="X214" s="9"/>
      <c r="Y214" s="10"/>
      <c r="Z214" s="10"/>
      <c r="AA214" s="10"/>
      <c r="AB214" s="10"/>
      <c r="AC214" s="10"/>
      <c r="AD214" s="10"/>
      <c r="AE214" s="1"/>
      <c r="AF214" s="2"/>
      <c r="AG214" s="1"/>
      <c r="AH214" s="3"/>
      <c r="AL214" s="4"/>
    </row>
    <row r="215" customFormat="1" spans="1:38">
      <c r="A215" s="5"/>
      <c r="B215" s="5"/>
      <c r="C215" s="9"/>
      <c r="D215" s="9"/>
      <c r="E215" s="9"/>
      <c r="F215" s="9"/>
      <c r="G215" s="9"/>
      <c r="H215" s="10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8"/>
      <c r="X215" s="9"/>
      <c r="Y215" s="10"/>
      <c r="Z215" s="10"/>
      <c r="AA215" s="10"/>
      <c r="AB215" s="10"/>
      <c r="AC215" s="10"/>
      <c r="AD215" s="10"/>
      <c r="AE215" s="1"/>
      <c r="AF215" s="2"/>
      <c r="AG215" s="1"/>
      <c r="AH215" s="3"/>
      <c r="AL215" s="4"/>
    </row>
    <row r="216" customFormat="1" spans="1:38">
      <c r="A216" s="5"/>
      <c r="B216" s="5"/>
      <c r="C216" s="9"/>
      <c r="D216" s="9"/>
      <c r="E216" s="9"/>
      <c r="F216" s="9"/>
      <c r="G216" s="9"/>
      <c r="H216" s="10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8"/>
      <c r="X216" s="9"/>
      <c r="Y216" s="10"/>
      <c r="Z216" s="10"/>
      <c r="AA216" s="10"/>
      <c r="AB216" s="10"/>
      <c r="AC216" s="10"/>
      <c r="AD216" s="10"/>
      <c r="AE216" s="1"/>
      <c r="AF216" s="2"/>
      <c r="AG216" s="1"/>
      <c r="AH216" s="3"/>
      <c r="AL216" s="4"/>
    </row>
    <row r="217" customFormat="1" spans="1:38">
      <c r="A217" s="5"/>
      <c r="B217" s="5"/>
      <c r="C217" s="9"/>
      <c r="D217" s="9"/>
      <c r="E217" s="9"/>
      <c r="F217" s="9"/>
      <c r="G217" s="9"/>
      <c r="H217" s="10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8"/>
      <c r="X217" s="9"/>
      <c r="Y217" s="10"/>
      <c r="Z217" s="10"/>
      <c r="AA217" s="10"/>
      <c r="AB217" s="10"/>
      <c r="AC217" s="10"/>
      <c r="AD217" s="10"/>
      <c r="AE217" s="1"/>
      <c r="AF217" s="2"/>
      <c r="AG217" s="1"/>
      <c r="AH217" s="3"/>
      <c r="AL217" s="4"/>
    </row>
    <row r="218" customFormat="1" spans="1:38">
      <c r="A218" s="5"/>
      <c r="B218" s="5"/>
      <c r="C218" s="9"/>
      <c r="D218" s="9"/>
      <c r="E218" s="9"/>
      <c r="F218" s="9"/>
      <c r="G218" s="9"/>
      <c r="H218" s="10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8"/>
      <c r="X218" s="9"/>
      <c r="Y218" s="10"/>
      <c r="Z218" s="10"/>
      <c r="AA218" s="10"/>
      <c r="AB218" s="10"/>
      <c r="AC218" s="10"/>
      <c r="AD218" s="10"/>
      <c r="AE218" s="1"/>
      <c r="AF218" s="2"/>
      <c r="AG218" s="1"/>
      <c r="AH218" s="3"/>
      <c r="AL218" s="4"/>
    </row>
    <row r="219" customFormat="1" spans="1:38">
      <c r="A219" s="5"/>
      <c r="B219" s="5"/>
      <c r="C219" s="9"/>
      <c r="D219" s="9"/>
      <c r="E219" s="9"/>
      <c r="F219" s="9"/>
      <c r="G219" s="9"/>
      <c r="H219" s="10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8"/>
      <c r="X219" s="9"/>
      <c r="Y219" s="10"/>
      <c r="Z219" s="10"/>
      <c r="AA219" s="10"/>
      <c r="AB219" s="10"/>
      <c r="AC219" s="10"/>
      <c r="AD219" s="10"/>
      <c r="AE219" s="1"/>
      <c r="AF219" s="2"/>
      <c r="AG219" s="1"/>
      <c r="AH219" s="3"/>
      <c r="AL219" s="4"/>
    </row>
    <row r="220" customFormat="1" spans="1:38">
      <c r="A220" s="5"/>
      <c r="B220" s="5"/>
      <c r="C220" s="9"/>
      <c r="D220" s="9"/>
      <c r="E220" s="9"/>
      <c r="F220" s="9"/>
      <c r="G220" s="9"/>
      <c r="H220" s="10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8"/>
      <c r="X220" s="9"/>
      <c r="Y220" s="10"/>
      <c r="Z220" s="10"/>
      <c r="AA220" s="10"/>
      <c r="AB220" s="10"/>
      <c r="AC220" s="10"/>
      <c r="AD220" s="10"/>
      <c r="AE220" s="1"/>
      <c r="AF220" s="2"/>
      <c r="AG220" s="1"/>
      <c r="AH220" s="3"/>
      <c r="AL220" s="4"/>
    </row>
    <row r="221" customFormat="1" spans="1:38">
      <c r="A221" s="5"/>
      <c r="B221" s="5"/>
      <c r="C221" s="9"/>
      <c r="D221" s="9"/>
      <c r="E221" s="9"/>
      <c r="F221" s="9"/>
      <c r="G221" s="9"/>
      <c r="H221" s="10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8"/>
      <c r="X221" s="9"/>
      <c r="Y221" s="10"/>
      <c r="Z221" s="10"/>
      <c r="AA221" s="10"/>
      <c r="AB221" s="10"/>
      <c r="AC221" s="10"/>
      <c r="AD221" s="10"/>
      <c r="AE221" s="1"/>
      <c r="AF221" s="2"/>
      <c r="AG221" s="1"/>
      <c r="AH221" s="3"/>
      <c r="AL221" s="4"/>
    </row>
    <row r="222" customFormat="1" spans="1:38">
      <c r="A222" s="5"/>
      <c r="B222" s="5"/>
      <c r="C222" s="9"/>
      <c r="D222" s="9"/>
      <c r="E222" s="9"/>
      <c r="F222" s="9"/>
      <c r="G222" s="9"/>
      <c r="H222" s="10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8"/>
      <c r="X222" s="9"/>
      <c r="Y222" s="10"/>
      <c r="Z222" s="10"/>
      <c r="AA222" s="10"/>
      <c r="AB222" s="10"/>
      <c r="AC222" s="10"/>
      <c r="AD222" s="10"/>
      <c r="AE222" s="1"/>
      <c r="AF222" s="2"/>
      <c r="AG222" s="1"/>
      <c r="AH222" s="3"/>
      <c r="AL222" s="4"/>
    </row>
    <row r="223" customFormat="1" spans="1:38">
      <c r="A223" s="5"/>
      <c r="B223" s="5"/>
      <c r="C223" s="9"/>
      <c r="D223" s="9"/>
      <c r="E223" s="9"/>
      <c r="F223" s="9"/>
      <c r="G223" s="9"/>
      <c r="H223" s="10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8"/>
      <c r="X223" s="9"/>
      <c r="Y223" s="10"/>
      <c r="Z223" s="10"/>
      <c r="AA223" s="10"/>
      <c r="AB223" s="10"/>
      <c r="AC223" s="10"/>
      <c r="AD223" s="10"/>
      <c r="AE223" s="1"/>
      <c r="AF223" s="2"/>
      <c r="AG223" s="1"/>
      <c r="AH223" s="3"/>
      <c r="AL223" s="4"/>
    </row>
    <row r="224" customFormat="1" spans="1:38">
      <c r="A224" s="5"/>
      <c r="B224" s="5"/>
      <c r="C224" s="9"/>
      <c r="D224" s="9"/>
      <c r="E224" s="9"/>
      <c r="F224" s="9"/>
      <c r="G224" s="9"/>
      <c r="H224" s="10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8"/>
      <c r="X224" s="9"/>
      <c r="Y224" s="10"/>
      <c r="Z224" s="10"/>
      <c r="AA224" s="10"/>
      <c r="AB224" s="10"/>
      <c r="AC224" s="10"/>
      <c r="AD224" s="10"/>
      <c r="AE224" s="1"/>
      <c r="AF224" s="2"/>
      <c r="AG224" s="1"/>
      <c r="AH224" s="3"/>
      <c r="AL224" s="4"/>
    </row>
    <row r="225" customFormat="1" spans="1:38">
      <c r="A225" s="5"/>
      <c r="B225" s="5"/>
      <c r="C225" s="9"/>
      <c r="D225" s="9"/>
      <c r="E225" s="9"/>
      <c r="F225" s="9"/>
      <c r="G225" s="9"/>
      <c r="H225" s="10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8"/>
      <c r="X225" s="9"/>
      <c r="Y225" s="10"/>
      <c r="Z225" s="10"/>
      <c r="AA225" s="10"/>
      <c r="AB225" s="10"/>
      <c r="AC225" s="10"/>
      <c r="AD225" s="10"/>
      <c r="AE225" s="1"/>
      <c r="AF225" s="2"/>
      <c r="AG225" s="1"/>
      <c r="AH225" s="3"/>
      <c r="AL225" s="4"/>
    </row>
    <row r="226" customFormat="1" spans="1:38">
      <c r="A226" s="5"/>
      <c r="B226" s="5"/>
      <c r="C226" s="9"/>
      <c r="D226" s="9"/>
      <c r="E226" s="9"/>
      <c r="F226" s="9"/>
      <c r="G226" s="9"/>
      <c r="H226" s="10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8"/>
      <c r="X226" s="9"/>
      <c r="Y226" s="10"/>
      <c r="Z226" s="10"/>
      <c r="AA226" s="10"/>
      <c r="AB226" s="10"/>
      <c r="AC226" s="10"/>
      <c r="AD226" s="10"/>
      <c r="AE226" s="1"/>
      <c r="AF226" s="2"/>
      <c r="AG226" s="1"/>
      <c r="AH226" s="3"/>
      <c r="AL226" s="4"/>
    </row>
    <row r="227" customFormat="1" spans="1:38">
      <c r="A227" s="5"/>
      <c r="B227" s="5"/>
      <c r="C227" s="9"/>
      <c r="D227" s="9"/>
      <c r="E227" s="9"/>
      <c r="F227" s="9"/>
      <c r="G227" s="9"/>
      <c r="H227" s="10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8"/>
      <c r="X227" s="9"/>
      <c r="Y227" s="10"/>
      <c r="Z227" s="10"/>
      <c r="AA227" s="10"/>
      <c r="AB227" s="10"/>
      <c r="AC227" s="10"/>
      <c r="AD227" s="10"/>
      <c r="AE227" s="1"/>
      <c r="AF227" s="2"/>
      <c r="AG227" s="1"/>
      <c r="AH227" s="3"/>
      <c r="AL227" s="4"/>
    </row>
    <row r="228" customFormat="1" spans="1:38">
      <c r="A228" s="5"/>
      <c r="B228" s="5"/>
      <c r="C228" s="9"/>
      <c r="D228" s="9"/>
      <c r="E228" s="9"/>
      <c r="F228" s="9"/>
      <c r="G228" s="9"/>
      <c r="H228" s="10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8"/>
      <c r="X228" s="9"/>
      <c r="Y228" s="10"/>
      <c r="Z228" s="10"/>
      <c r="AA228" s="10"/>
      <c r="AB228" s="10"/>
      <c r="AC228" s="10"/>
      <c r="AD228" s="10"/>
      <c r="AE228" s="1"/>
      <c r="AF228" s="2"/>
      <c r="AG228" s="1"/>
      <c r="AH228" s="3"/>
      <c r="AL228" s="4"/>
    </row>
    <row r="229" customFormat="1" spans="1:38">
      <c r="A229" s="5"/>
      <c r="B229" s="5"/>
      <c r="C229" s="9"/>
      <c r="D229" s="9"/>
      <c r="E229" s="9"/>
      <c r="F229" s="9"/>
      <c r="G229" s="9"/>
      <c r="H229" s="10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8"/>
      <c r="X229" s="9"/>
      <c r="Y229" s="10"/>
      <c r="Z229" s="10"/>
      <c r="AA229" s="10"/>
      <c r="AB229" s="10"/>
      <c r="AC229" s="10"/>
      <c r="AD229" s="10"/>
      <c r="AE229" s="1"/>
      <c r="AF229" s="2"/>
      <c r="AG229" s="1"/>
      <c r="AH229" s="3"/>
      <c r="AL229" s="4"/>
    </row>
    <row r="230" customFormat="1" spans="1:38">
      <c r="A230" s="5"/>
      <c r="B230" s="5"/>
      <c r="C230" s="9"/>
      <c r="D230" s="9"/>
      <c r="E230" s="9"/>
      <c r="F230" s="9"/>
      <c r="G230" s="9"/>
      <c r="H230" s="10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8"/>
      <c r="X230" s="9"/>
      <c r="Y230" s="10"/>
      <c r="Z230" s="10"/>
      <c r="AA230" s="10"/>
      <c r="AB230" s="10"/>
      <c r="AC230" s="10"/>
      <c r="AD230" s="10"/>
      <c r="AE230" s="1"/>
      <c r="AF230" s="2"/>
      <c r="AG230" s="1"/>
      <c r="AH230" s="3"/>
      <c r="AL230" s="4"/>
    </row>
    <row r="231" customFormat="1" spans="1:38">
      <c r="A231" s="5"/>
      <c r="B231" s="5"/>
      <c r="C231" s="9"/>
      <c r="D231" s="9"/>
      <c r="E231" s="9"/>
      <c r="F231" s="9"/>
      <c r="G231" s="9"/>
      <c r="H231" s="10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8"/>
      <c r="X231" s="9"/>
      <c r="Y231" s="10"/>
      <c r="Z231" s="10"/>
      <c r="AA231" s="10"/>
      <c r="AB231" s="10"/>
      <c r="AC231" s="10"/>
      <c r="AD231" s="10"/>
      <c r="AE231" s="1"/>
      <c r="AF231" s="2"/>
      <c r="AG231" s="1"/>
      <c r="AH231" s="3"/>
      <c r="AL231" s="4"/>
    </row>
    <row r="232" customFormat="1" spans="1:38">
      <c r="A232" s="5"/>
      <c r="B232" s="5"/>
      <c r="C232" s="9"/>
      <c r="D232" s="9"/>
      <c r="E232" s="9"/>
      <c r="F232" s="9"/>
      <c r="G232" s="9"/>
      <c r="H232" s="10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8"/>
      <c r="X232" s="9"/>
      <c r="Y232" s="10"/>
      <c r="Z232" s="10"/>
      <c r="AA232" s="10"/>
      <c r="AB232" s="10"/>
      <c r="AC232" s="10"/>
      <c r="AD232" s="10"/>
      <c r="AE232" s="1"/>
      <c r="AF232" s="2"/>
      <c r="AG232" s="1"/>
      <c r="AH232" s="3"/>
      <c r="AL232" s="4"/>
    </row>
    <row r="233" customFormat="1" spans="1:38">
      <c r="A233" s="5"/>
      <c r="B233" s="5"/>
      <c r="C233" s="9"/>
      <c r="D233" s="9"/>
      <c r="E233" s="9"/>
      <c r="F233" s="9"/>
      <c r="G233" s="9"/>
      <c r="H233" s="10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8"/>
      <c r="X233" s="9"/>
      <c r="Y233" s="10"/>
      <c r="Z233" s="10"/>
      <c r="AA233" s="10"/>
      <c r="AB233" s="10"/>
      <c r="AC233" s="10"/>
      <c r="AD233" s="10"/>
      <c r="AE233" s="1"/>
      <c r="AF233" s="2"/>
      <c r="AG233" s="1"/>
      <c r="AH233" s="3"/>
      <c r="AL233" s="4"/>
    </row>
    <row r="234" customFormat="1" spans="1:38">
      <c r="A234" s="5"/>
      <c r="B234" s="5"/>
      <c r="C234" s="9"/>
      <c r="D234" s="9"/>
      <c r="E234" s="9"/>
      <c r="F234" s="9"/>
      <c r="G234" s="9"/>
      <c r="H234" s="10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8"/>
      <c r="X234" s="9"/>
      <c r="Y234" s="10"/>
      <c r="Z234" s="10"/>
      <c r="AA234" s="10"/>
      <c r="AB234" s="10"/>
      <c r="AC234" s="10"/>
      <c r="AD234" s="10"/>
      <c r="AE234" s="1"/>
      <c r="AF234" s="2"/>
      <c r="AG234" s="1"/>
      <c r="AH234" s="3"/>
      <c r="AL234" s="4"/>
    </row>
    <row r="235" customFormat="1" spans="1:38">
      <c r="A235" s="5"/>
      <c r="B235" s="5"/>
      <c r="C235" s="9"/>
      <c r="D235" s="9"/>
      <c r="E235" s="9"/>
      <c r="F235" s="9"/>
      <c r="G235" s="9"/>
      <c r="H235" s="10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8"/>
      <c r="X235" s="9"/>
      <c r="Y235" s="10"/>
      <c r="Z235" s="10"/>
      <c r="AA235" s="10"/>
      <c r="AB235" s="10"/>
      <c r="AC235" s="10"/>
      <c r="AD235" s="10"/>
      <c r="AE235" s="1"/>
      <c r="AF235" s="2"/>
      <c r="AG235" s="1"/>
      <c r="AH235" s="3"/>
      <c r="AL235" s="4"/>
    </row>
    <row r="236" customFormat="1" spans="1:38">
      <c r="A236" s="5"/>
      <c r="B236" s="5"/>
      <c r="C236" s="9"/>
      <c r="D236" s="9"/>
      <c r="E236" s="9"/>
      <c r="F236" s="9"/>
      <c r="G236" s="9"/>
      <c r="H236" s="10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8"/>
      <c r="X236" s="9"/>
      <c r="Y236" s="10"/>
      <c r="Z236" s="10"/>
      <c r="AA236" s="10"/>
      <c r="AB236" s="10"/>
      <c r="AC236" s="10"/>
      <c r="AD236" s="10"/>
      <c r="AE236" s="1"/>
      <c r="AF236" s="2"/>
      <c r="AG236" s="1"/>
      <c r="AH236" s="3"/>
      <c r="AL236" s="4"/>
    </row>
    <row r="237" customFormat="1" spans="1:38">
      <c r="A237" s="5"/>
      <c r="B237" s="5"/>
      <c r="C237" s="9"/>
      <c r="D237" s="9"/>
      <c r="E237" s="9"/>
      <c r="F237" s="9"/>
      <c r="G237" s="9"/>
      <c r="H237" s="10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8"/>
      <c r="X237" s="9"/>
      <c r="Y237" s="10"/>
      <c r="Z237" s="10"/>
      <c r="AA237" s="10"/>
      <c r="AB237" s="10"/>
      <c r="AC237" s="10"/>
      <c r="AD237" s="10"/>
      <c r="AE237" s="1"/>
      <c r="AF237" s="2"/>
      <c r="AG237" s="1"/>
      <c r="AH237" s="3"/>
      <c r="AL237" s="4"/>
    </row>
    <row r="238" customFormat="1" spans="1:38">
      <c r="A238" s="5"/>
      <c r="B238" s="5"/>
      <c r="C238" s="9"/>
      <c r="D238" s="9"/>
      <c r="E238" s="9"/>
      <c r="F238" s="9"/>
      <c r="G238" s="9"/>
      <c r="H238" s="10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8"/>
      <c r="X238" s="9"/>
      <c r="Y238" s="10"/>
      <c r="Z238" s="10"/>
      <c r="AA238" s="10"/>
      <c r="AB238" s="10"/>
      <c r="AC238" s="10"/>
      <c r="AD238" s="10"/>
      <c r="AE238" s="1"/>
      <c r="AF238" s="2"/>
      <c r="AG238" s="1"/>
      <c r="AH238" s="3"/>
      <c r="AL238" s="4"/>
    </row>
    <row r="239" customFormat="1" spans="1:38">
      <c r="A239" s="5"/>
      <c r="B239" s="5"/>
      <c r="C239" s="9"/>
      <c r="D239" s="9"/>
      <c r="E239" s="9"/>
      <c r="F239" s="9"/>
      <c r="G239" s="9"/>
      <c r="H239" s="10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8"/>
      <c r="X239" s="9"/>
      <c r="Y239" s="10"/>
      <c r="Z239" s="10"/>
      <c r="AA239" s="10"/>
      <c r="AB239" s="10"/>
      <c r="AC239" s="10"/>
      <c r="AD239" s="10"/>
      <c r="AE239" s="1"/>
      <c r="AF239" s="2"/>
      <c r="AG239" s="1"/>
      <c r="AH239" s="3"/>
      <c r="AL239" s="4"/>
    </row>
    <row r="240" customFormat="1" spans="1:38">
      <c r="A240" s="5"/>
      <c r="B240" s="5"/>
      <c r="C240" s="9"/>
      <c r="D240" s="9"/>
      <c r="E240" s="9"/>
      <c r="F240" s="9"/>
      <c r="G240" s="9"/>
      <c r="H240" s="10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8"/>
      <c r="X240" s="9"/>
      <c r="Y240" s="10"/>
      <c r="Z240" s="10"/>
      <c r="AA240" s="10"/>
      <c r="AB240" s="10"/>
      <c r="AC240" s="10"/>
      <c r="AD240" s="10"/>
      <c r="AE240" s="1"/>
      <c r="AF240" s="2"/>
      <c r="AG240" s="1"/>
      <c r="AH240" s="3"/>
      <c r="AL240" s="4"/>
    </row>
    <row r="241" customFormat="1" spans="1:38">
      <c r="A241" s="5"/>
      <c r="B241" s="5"/>
      <c r="C241" s="9"/>
      <c r="D241" s="9"/>
      <c r="E241" s="9"/>
      <c r="F241" s="9"/>
      <c r="G241" s="9"/>
      <c r="H241" s="10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8"/>
      <c r="X241" s="9"/>
      <c r="Y241" s="10"/>
      <c r="Z241" s="10"/>
      <c r="AA241" s="10"/>
      <c r="AB241" s="10"/>
      <c r="AC241" s="10"/>
      <c r="AD241" s="10"/>
      <c r="AE241" s="1"/>
      <c r="AF241" s="2"/>
      <c r="AG241" s="1"/>
      <c r="AH241" s="3"/>
      <c r="AL241" s="4"/>
    </row>
    <row r="242" customFormat="1" spans="1:38">
      <c r="A242" s="5"/>
      <c r="B242" s="5"/>
      <c r="C242" s="9"/>
      <c r="D242" s="9"/>
      <c r="E242" s="9"/>
      <c r="F242" s="9"/>
      <c r="G242" s="9"/>
      <c r="H242" s="10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8"/>
      <c r="X242" s="9"/>
      <c r="Y242" s="10"/>
      <c r="Z242" s="10"/>
      <c r="AA242" s="10"/>
      <c r="AB242" s="10"/>
      <c r="AC242" s="10"/>
      <c r="AD242" s="10"/>
      <c r="AE242" s="1"/>
      <c r="AF242" s="2"/>
      <c r="AG242" s="1"/>
      <c r="AH242" s="3"/>
      <c r="AL242" s="4"/>
    </row>
    <row r="243" customFormat="1" spans="1:38">
      <c r="A243" s="5"/>
      <c r="B243" s="5"/>
      <c r="C243" s="9"/>
      <c r="D243" s="9"/>
      <c r="E243" s="9"/>
      <c r="F243" s="9"/>
      <c r="G243" s="9"/>
      <c r="H243" s="10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8"/>
      <c r="X243" s="9"/>
      <c r="Y243" s="10"/>
      <c r="Z243" s="10"/>
      <c r="AA243" s="10"/>
      <c r="AB243" s="10"/>
      <c r="AC243" s="10"/>
      <c r="AD243" s="10"/>
      <c r="AE243" s="1"/>
      <c r="AF243" s="2"/>
      <c r="AG243" s="1"/>
      <c r="AH243" s="3"/>
      <c r="AL243" s="4"/>
    </row>
    <row r="244" customFormat="1" spans="1:38">
      <c r="A244" s="5"/>
      <c r="B244" s="5"/>
      <c r="C244" s="9"/>
      <c r="D244" s="9"/>
      <c r="E244" s="9"/>
      <c r="F244" s="9"/>
      <c r="G244" s="9"/>
      <c r="H244" s="10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8"/>
      <c r="X244" s="9"/>
      <c r="Y244" s="10"/>
      <c r="Z244" s="10"/>
      <c r="AA244" s="10"/>
      <c r="AB244" s="10"/>
      <c r="AC244" s="10"/>
      <c r="AD244" s="10"/>
      <c r="AE244" s="1"/>
      <c r="AF244" s="2"/>
      <c r="AG244" s="1"/>
      <c r="AH244" s="3"/>
      <c r="AL244" s="4"/>
    </row>
    <row r="245" customFormat="1" spans="1:38">
      <c r="A245" s="5"/>
      <c r="B245" s="5"/>
      <c r="C245" s="9"/>
      <c r="D245" s="9"/>
      <c r="E245" s="9"/>
      <c r="F245" s="9"/>
      <c r="G245" s="9"/>
      <c r="H245" s="10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8"/>
      <c r="X245" s="9"/>
      <c r="Y245" s="10"/>
      <c r="Z245" s="10"/>
      <c r="AA245" s="10"/>
      <c r="AB245" s="10"/>
      <c r="AC245" s="10"/>
      <c r="AD245" s="10"/>
      <c r="AE245" s="1"/>
      <c r="AF245" s="2"/>
      <c r="AG245" s="1"/>
      <c r="AH245" s="3"/>
      <c r="AL245" s="4"/>
    </row>
    <row r="246" customFormat="1" spans="1:38">
      <c r="A246" s="5"/>
      <c r="B246" s="5"/>
      <c r="C246" s="9"/>
      <c r="D246" s="9"/>
      <c r="E246" s="9"/>
      <c r="F246" s="9"/>
      <c r="G246" s="9"/>
      <c r="H246" s="10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8"/>
      <c r="X246" s="9"/>
      <c r="Y246" s="10"/>
      <c r="Z246" s="10"/>
      <c r="AA246" s="10"/>
      <c r="AB246" s="10"/>
      <c r="AC246" s="10"/>
      <c r="AD246" s="10"/>
      <c r="AE246" s="1"/>
      <c r="AF246" s="2"/>
      <c r="AG246" s="1"/>
      <c r="AH246" s="3"/>
      <c r="AL246" s="4"/>
    </row>
    <row r="247" customFormat="1" spans="1:38">
      <c r="A247" s="5"/>
      <c r="B247" s="5"/>
      <c r="C247" s="9"/>
      <c r="D247" s="9"/>
      <c r="E247" s="9"/>
      <c r="F247" s="9"/>
      <c r="G247" s="9"/>
      <c r="H247" s="10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8"/>
      <c r="X247" s="9"/>
      <c r="Y247" s="10"/>
      <c r="Z247" s="10"/>
      <c r="AA247" s="10"/>
      <c r="AB247" s="10"/>
      <c r="AC247" s="10"/>
      <c r="AD247" s="10"/>
      <c r="AE247" s="1"/>
      <c r="AF247" s="2"/>
      <c r="AG247" s="1"/>
      <c r="AH247" s="3"/>
      <c r="AL247" s="4"/>
    </row>
    <row r="248" customFormat="1" spans="1:38">
      <c r="A248" s="5"/>
      <c r="B248" s="5"/>
      <c r="C248" s="9"/>
      <c r="D248" s="9"/>
      <c r="E248" s="9"/>
      <c r="F248" s="9"/>
      <c r="G248" s="9"/>
      <c r="H248" s="10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8"/>
      <c r="X248" s="9"/>
      <c r="Y248" s="10"/>
      <c r="Z248" s="10"/>
      <c r="AA248" s="10"/>
      <c r="AB248" s="10"/>
      <c r="AC248" s="10"/>
      <c r="AD248" s="10"/>
      <c r="AE248" s="1"/>
      <c r="AF248" s="2"/>
      <c r="AG248" s="1"/>
      <c r="AH248" s="3"/>
      <c r="AL248" s="4"/>
    </row>
    <row r="249" customFormat="1" spans="1:38">
      <c r="A249" s="5"/>
      <c r="B249" s="5"/>
      <c r="C249" s="249"/>
      <c r="D249" s="249"/>
      <c r="E249" s="249"/>
      <c r="F249" s="249"/>
      <c r="G249" s="249"/>
      <c r="H249" s="8"/>
      <c r="I249" s="249"/>
      <c r="J249" s="249"/>
      <c r="K249" s="249"/>
      <c r="L249" s="24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10"/>
      <c r="X249" s="9"/>
      <c r="Y249" s="10"/>
      <c r="Z249" s="10"/>
      <c r="AA249" s="10"/>
      <c r="AB249" s="10"/>
      <c r="AC249" s="10"/>
      <c r="AD249" s="10"/>
      <c r="AE249" s="1"/>
      <c r="AF249" s="2"/>
      <c r="AG249" s="1"/>
      <c r="AH249" s="3"/>
      <c r="AL249" s="4"/>
    </row>
    <row r="250" customFormat="1" ht="37.95" customHeight="1" spans="1:38">
      <c r="A250" s="5"/>
      <c r="B250" s="5"/>
      <c r="C250" s="249"/>
      <c r="D250" s="249"/>
      <c r="E250" s="249"/>
      <c r="F250" s="249"/>
      <c r="G250" s="249"/>
      <c r="H250" s="8"/>
      <c r="I250" s="249"/>
      <c r="J250" s="249"/>
      <c r="K250" s="249"/>
      <c r="L250" s="24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10"/>
      <c r="X250" s="9"/>
      <c r="Y250" s="10"/>
      <c r="Z250" s="10"/>
      <c r="AA250" s="10"/>
      <c r="AB250" s="10"/>
      <c r="AC250" s="10"/>
      <c r="AD250" s="10"/>
      <c r="AE250" s="1"/>
      <c r="AF250" s="2"/>
      <c r="AG250" s="1"/>
      <c r="AH250" s="3"/>
      <c r="AL250" s="4"/>
    </row>
    <row r="251" customFormat="1" spans="1:38">
      <c r="A251" s="5"/>
      <c r="B251" s="5"/>
      <c r="C251" s="250"/>
      <c r="D251" s="250"/>
      <c r="E251" s="250"/>
      <c r="F251" s="250"/>
      <c r="G251" s="251" t="s">
        <v>104</v>
      </c>
      <c r="H251" s="252">
        <f>$H$7*$H$301</f>
        <v>28</v>
      </c>
      <c r="I251" s="251" t="s">
        <v>105</v>
      </c>
      <c r="J251" s="253">
        <f>$G$335</f>
        <v>0</v>
      </c>
      <c r="K251" s="251" t="s">
        <v>106</v>
      </c>
      <c r="L251" s="254">
        <v>0.3</v>
      </c>
      <c r="M251" s="255" t="s">
        <v>107</v>
      </c>
      <c r="N251" s="254">
        <f>(0.25*$H$256/$H$254-1+0.75)*(5/8*$H$256/$H$254-1+3/8)</f>
        <v>0.0411736111111111</v>
      </c>
      <c r="O251" s="256"/>
      <c r="P251" s="257"/>
      <c r="Q251" s="257"/>
      <c r="R251" s="257"/>
      <c r="S251" s="257"/>
      <c r="T251" s="257"/>
      <c r="U251" s="257"/>
      <c r="V251" s="257"/>
      <c r="W251" s="258"/>
      <c r="X251" s="259"/>
      <c r="Y251" s="260"/>
      <c r="Z251" s="261"/>
      <c r="AA251" s="258"/>
      <c r="AB251" s="10"/>
      <c r="AC251" s="10"/>
      <c r="AD251" s="10"/>
      <c r="AE251" s="1"/>
      <c r="AF251" s="2"/>
      <c r="AG251" s="1"/>
      <c r="AH251" s="3"/>
      <c r="AL251" s="4"/>
    </row>
    <row r="252" customFormat="1" spans="1:38">
      <c r="A252" s="5"/>
      <c r="B252" s="5"/>
      <c r="C252" s="250"/>
      <c r="D252" s="250"/>
      <c r="E252" s="250"/>
      <c r="F252" s="250"/>
      <c r="G252" s="262" t="s">
        <v>108</v>
      </c>
      <c r="H252" s="263">
        <f>$H$8*$H$301</f>
        <v>17.3</v>
      </c>
      <c r="I252" s="262" t="s">
        <v>109</v>
      </c>
      <c r="J252" s="264">
        <f>H251/H252</f>
        <v>1.61849710982659</v>
      </c>
      <c r="K252" s="262" t="s">
        <v>110</v>
      </c>
      <c r="L252" s="265">
        <f>$J$256/$H$255</f>
        <v>0.513333333333333</v>
      </c>
      <c r="M252" s="266" t="s">
        <v>111</v>
      </c>
      <c r="N252" s="9">
        <f>1/$N$251</f>
        <v>24.2874009107775</v>
      </c>
      <c r="O252" s="267"/>
      <c r="P252" s="268"/>
      <c r="Q252" s="9"/>
      <c r="R252" s="9"/>
      <c r="S252" s="9"/>
      <c r="T252" s="9"/>
      <c r="U252" s="9"/>
      <c r="V252" s="9"/>
      <c r="W252" s="10"/>
      <c r="X252" s="269"/>
      <c r="Y252" s="270"/>
      <c r="Z252" s="271"/>
      <c r="AA252" s="10"/>
      <c r="AB252" s="10"/>
      <c r="AC252" s="10"/>
      <c r="AD252" s="10"/>
      <c r="AE252" s="1"/>
      <c r="AF252" s="2"/>
      <c r="AG252" s="1"/>
      <c r="AH252" s="3"/>
      <c r="AL252" s="4"/>
    </row>
    <row r="253" customFormat="1" spans="1:38">
      <c r="A253" s="5"/>
      <c r="B253" s="5"/>
      <c r="C253" s="9"/>
      <c r="D253" s="9"/>
      <c r="E253" s="9"/>
      <c r="F253" s="9"/>
      <c r="G253" s="262"/>
      <c r="H253" s="263"/>
      <c r="I253" s="262" t="s">
        <v>112</v>
      </c>
      <c r="J253" s="272">
        <f>(($J$252-1)/$J$252)^2/(($J$252+1)/($J$252-1)-2/LN($J$252))/$J$255</f>
        <v>0.58147426224185</v>
      </c>
      <c r="K253" s="262" t="s">
        <v>113</v>
      </c>
      <c r="L253" s="273">
        <f>6/$J$255*((($J$252-1)/LN($J$252)-1)/LN($J$252))</f>
        <v>1.12857416618788</v>
      </c>
      <c r="M253" s="266" t="s">
        <v>114</v>
      </c>
      <c r="N253" s="9">
        <f>N252*(5/32*($H$256/$H$254-1)^2+1)</f>
        <v>25.2874009107775</v>
      </c>
      <c r="O253" s="266"/>
      <c r="P253" s="268"/>
      <c r="Q253" s="9"/>
      <c r="R253" s="9"/>
      <c r="S253" s="9"/>
      <c r="T253" s="9"/>
      <c r="U253" s="9"/>
      <c r="V253" s="9"/>
      <c r="W253" s="10"/>
      <c r="X253" s="269"/>
      <c r="Y253" s="270"/>
      <c r="Z253" s="274"/>
      <c r="AA253" s="10"/>
      <c r="AB253" s="10"/>
      <c r="AC253" s="10"/>
      <c r="AD253" s="10"/>
      <c r="AE253" s="1"/>
      <c r="AF253" s="2"/>
      <c r="AG253" s="1"/>
      <c r="AH253" s="3"/>
      <c r="AL253" s="4"/>
    </row>
    <row r="254" customFormat="1" spans="1:38">
      <c r="A254" s="5"/>
      <c r="B254" s="5"/>
      <c r="C254" s="9"/>
      <c r="D254" s="9"/>
      <c r="E254" s="9"/>
      <c r="F254" s="9"/>
      <c r="G254" s="262" t="s">
        <v>72</v>
      </c>
      <c r="H254" s="263">
        <f>$H$9*$H$301</f>
        <v>1.5</v>
      </c>
      <c r="I254" s="262" t="s">
        <v>115</v>
      </c>
      <c r="J254" s="9">
        <v>1</v>
      </c>
      <c r="K254" s="262" t="s">
        <v>116</v>
      </c>
      <c r="L254" s="273">
        <f>3/$J$255*($J$252-1)/LN($J$252)</f>
        <v>1.22663276538014</v>
      </c>
      <c r="M254" s="266" t="s">
        <v>117</v>
      </c>
      <c r="N254" s="9">
        <f>N335</f>
        <v>0</v>
      </c>
      <c r="O254" s="266"/>
      <c r="P254" s="268"/>
      <c r="Q254" s="9"/>
      <c r="R254" s="9"/>
      <c r="S254" s="9"/>
      <c r="T254" s="9"/>
      <c r="U254" s="9"/>
      <c r="V254" s="9"/>
      <c r="W254" s="10"/>
      <c r="X254" s="275"/>
      <c r="Y254" s="270"/>
      <c r="Z254" s="274"/>
      <c r="AA254" s="10"/>
      <c r="AB254" s="10"/>
      <c r="AC254" s="10"/>
      <c r="AD254" s="10"/>
      <c r="AE254" s="1"/>
      <c r="AF254" s="2"/>
      <c r="AG254" s="1"/>
      <c r="AH254" s="3"/>
      <c r="AL254" s="4"/>
    </row>
    <row r="255" customFormat="1" spans="1:38">
      <c r="A255" s="5"/>
      <c r="B255" s="5"/>
      <c r="C255" s="9"/>
      <c r="D255" s="9"/>
      <c r="E255" s="9"/>
      <c r="F255" s="9"/>
      <c r="G255" s="262" t="s">
        <v>118</v>
      </c>
      <c r="H255" s="263">
        <f>$H$271*$H$301</f>
        <v>1.5</v>
      </c>
      <c r="I255" s="262" t="s">
        <v>119</v>
      </c>
      <c r="J255" s="272">
        <f>4*ATAN(1)</f>
        <v>3.14159265358979</v>
      </c>
      <c r="K255" s="262" t="s">
        <v>120</v>
      </c>
      <c r="L255" s="276">
        <f>4*$J$251/(1-$L$251*$L$251)</f>
        <v>0</v>
      </c>
      <c r="M255" s="266" t="s">
        <v>121</v>
      </c>
      <c r="N255" s="276">
        <f>$G$335</f>
        <v>0</v>
      </c>
      <c r="O255" s="267"/>
      <c r="P255" s="268"/>
      <c r="Q255" s="9"/>
      <c r="R255" s="9"/>
      <c r="S255" s="9"/>
      <c r="T255" s="9"/>
      <c r="U255" s="9"/>
      <c r="V255" s="9"/>
      <c r="W255" s="10"/>
      <c r="X255" s="275"/>
      <c r="Y255" s="270"/>
      <c r="Z255" s="277"/>
      <c r="AA255" s="10"/>
      <c r="AB255" s="10"/>
      <c r="AC255" s="10"/>
      <c r="AD255" s="10"/>
      <c r="AE255" s="1"/>
      <c r="AF255" s="2"/>
      <c r="AG255" s="1"/>
      <c r="AH255" s="3"/>
      <c r="AL255" s="4"/>
    </row>
    <row r="256" customFormat="1" ht="18.75" spans="1:38">
      <c r="A256" s="5"/>
      <c r="B256" s="5"/>
      <c r="C256" s="9"/>
      <c r="D256" s="9"/>
      <c r="E256" s="9"/>
      <c r="F256" s="9"/>
      <c r="G256" s="278" t="s">
        <v>122</v>
      </c>
      <c r="H256" s="279">
        <f>$H$11*$H$301</f>
        <v>2.27</v>
      </c>
      <c r="I256" s="278" t="s">
        <v>63</v>
      </c>
      <c r="J256" s="280">
        <f>H256-H255</f>
        <v>0.77</v>
      </c>
      <c r="K256" s="278"/>
      <c r="L256" s="281"/>
      <c r="M256" s="282"/>
      <c r="N256" s="281"/>
      <c r="O256" s="267"/>
      <c r="P256" s="283"/>
      <c r="Q256" s="276"/>
      <c r="R256" s="276"/>
      <c r="S256" s="276"/>
      <c r="T256" s="276"/>
      <c r="U256" s="276"/>
      <c r="V256" s="276"/>
      <c r="W256" s="10"/>
      <c r="X256" s="275"/>
      <c r="Y256" s="270"/>
      <c r="Z256" s="271"/>
      <c r="AA256" s="10"/>
      <c r="AB256" s="10"/>
      <c r="AC256" s="10"/>
      <c r="AD256" s="10"/>
      <c r="AE256" s="1"/>
      <c r="AF256" s="2"/>
      <c r="AG256" s="1"/>
      <c r="AH256" s="3"/>
      <c r="AL256" s="4"/>
    </row>
    <row r="257" customFormat="1" ht="18.75" spans="1:38">
      <c r="A257" s="5"/>
      <c r="B257" s="5"/>
      <c r="C257" s="9"/>
      <c r="D257" s="9"/>
      <c r="E257" s="9"/>
      <c r="F257" s="9"/>
      <c r="G257" s="284"/>
      <c r="H257" s="285"/>
      <c r="I257" s="284"/>
      <c r="J257" s="284"/>
      <c r="K257" s="284"/>
      <c r="L257" s="284"/>
      <c r="M257" s="284"/>
      <c r="N257" s="284"/>
      <c r="O257" s="267"/>
      <c r="P257" s="283"/>
      <c r="Q257" s="276"/>
      <c r="R257" s="276"/>
      <c r="S257" s="276"/>
      <c r="T257" s="276"/>
      <c r="U257" s="276"/>
      <c r="V257" s="276"/>
      <c r="W257" s="10"/>
      <c r="X257" s="286"/>
      <c r="Y257" s="270"/>
      <c r="Z257" s="271"/>
      <c r="AA257" s="10"/>
      <c r="AB257" s="10"/>
      <c r="AC257" s="10"/>
      <c r="AD257" s="10"/>
      <c r="AE257" s="1"/>
      <c r="AF257" s="2"/>
      <c r="AG257" s="1"/>
      <c r="AH257" s="3"/>
      <c r="AL257" s="4"/>
    </row>
    <row r="258" customFormat="1" spans="1:38">
      <c r="A258" s="5"/>
      <c r="B258" s="5"/>
      <c r="C258" s="9"/>
      <c r="D258" s="9"/>
      <c r="E258" s="9"/>
      <c r="F258" s="9"/>
      <c r="G258" s="287"/>
      <c r="H258" s="288" t="s">
        <v>123</v>
      </c>
      <c r="I258" s="289"/>
      <c r="J258" s="290"/>
      <c r="K258" s="284"/>
      <c r="L258" s="291" t="s">
        <v>124</v>
      </c>
      <c r="M258" s="292"/>
      <c r="N258" s="284"/>
      <c r="O258" s="262"/>
      <c r="P258" s="293"/>
      <c r="Q258" s="294"/>
      <c r="R258" s="294"/>
      <c r="S258" s="294"/>
      <c r="T258" s="294"/>
      <c r="U258" s="294"/>
      <c r="V258" s="294"/>
      <c r="W258" s="10"/>
      <c r="X258" s="295"/>
      <c r="Y258" s="270"/>
      <c r="Z258" s="274"/>
      <c r="AA258" s="10"/>
      <c r="AB258" s="10"/>
      <c r="AC258" s="10"/>
      <c r="AD258" s="10"/>
      <c r="AE258" s="1"/>
      <c r="AF258" s="2"/>
      <c r="AG258" s="1"/>
      <c r="AH258" s="3"/>
      <c r="AL258" s="4"/>
    </row>
    <row r="259" customFormat="1" spans="1:38">
      <c r="A259" s="5"/>
      <c r="B259" s="5"/>
      <c r="C259" s="9"/>
      <c r="D259" s="9"/>
      <c r="E259" s="9"/>
      <c r="F259" s="9"/>
      <c r="G259" s="296" t="s">
        <v>125</v>
      </c>
      <c r="H259" s="10" t="s">
        <v>126</v>
      </c>
      <c r="I259" s="297" t="s">
        <v>127</v>
      </c>
      <c r="J259" s="298" t="s">
        <v>128</v>
      </c>
      <c r="K259" s="284"/>
      <c r="L259" s="299" t="s">
        <v>129</v>
      </c>
      <c r="M259" s="286">
        <f>$H$255/$H$254</f>
        <v>1</v>
      </c>
      <c r="N259" s="284"/>
      <c r="O259" s="262"/>
      <c r="P259" s="293"/>
      <c r="Q259" s="294"/>
      <c r="R259" s="294"/>
      <c r="S259" s="294"/>
      <c r="T259" s="294"/>
      <c r="U259" s="294"/>
      <c r="V259" s="294"/>
      <c r="W259" s="10"/>
      <c r="X259" s="295"/>
      <c r="Y259" s="270"/>
      <c r="Z259" s="274"/>
      <c r="AA259" s="10"/>
      <c r="AB259" s="10"/>
      <c r="AC259" s="10"/>
      <c r="AD259" s="10"/>
      <c r="AE259" s="1"/>
      <c r="AF259" s="2"/>
      <c r="AG259" s="1"/>
      <c r="AH259" s="3"/>
      <c r="AL259" s="4"/>
    </row>
    <row r="260" customFormat="1" spans="1:38">
      <c r="A260" s="5"/>
      <c r="B260" s="5"/>
      <c r="C260" s="9"/>
      <c r="D260" s="9"/>
      <c r="E260" s="9"/>
      <c r="F260" s="9"/>
      <c r="G260" s="296">
        <v>1.5</v>
      </c>
      <c r="H260" s="10">
        <v>-2600</v>
      </c>
      <c r="I260" s="300">
        <f t="shared" ref="I260:I262" si="7">$H$265+$H$266*G260+$H$267*G260*G260</f>
        <v>-2599.99874089803</v>
      </c>
      <c r="J260" s="298">
        <f t="shared" ref="J260:J262" si="8">(H260-I260)^2</f>
        <v>1.58533777642176e-6</v>
      </c>
      <c r="K260" s="284"/>
      <c r="L260" s="299" t="s">
        <v>130</v>
      </c>
      <c r="M260" s="286">
        <f>($M$259^2)/(($H$256/(4*$H$254)-$M$259+0.75)*(5*$H$256/8/$H$254-$M$259+3/8))</f>
        <v>24.2874009107775</v>
      </c>
      <c r="N260" s="284"/>
      <c r="O260" s="262"/>
      <c r="P260" s="293"/>
      <c r="Q260" s="294"/>
      <c r="R260" s="294"/>
      <c r="S260" s="294"/>
      <c r="T260" s="294"/>
      <c r="U260" s="294"/>
      <c r="V260" s="294"/>
      <c r="W260" s="301"/>
      <c r="X260" s="286"/>
      <c r="Y260" s="270"/>
      <c r="Z260" s="274"/>
      <c r="AA260" s="301"/>
      <c r="AB260" s="10"/>
      <c r="AC260" s="10"/>
      <c r="AD260" s="10"/>
      <c r="AE260" s="1"/>
      <c r="AF260" s="2"/>
      <c r="AG260" s="1"/>
      <c r="AH260" s="3"/>
      <c r="AL260" s="4"/>
    </row>
    <row r="261" customFormat="1" spans="1:38">
      <c r="A261" s="5"/>
      <c r="B261" s="5"/>
      <c r="C261" s="9"/>
      <c r="D261" s="9"/>
      <c r="E261" s="9"/>
      <c r="F261" s="9"/>
      <c r="G261" s="296">
        <v>2</v>
      </c>
      <c r="H261" s="10">
        <v>-3400</v>
      </c>
      <c r="I261" s="300">
        <f t="shared" si="7"/>
        <v>-3400.00133075665</v>
      </c>
      <c r="J261" s="298">
        <f t="shared" si="8"/>
        <v>1.77091326051409e-6</v>
      </c>
      <c r="K261" s="284"/>
      <c r="L261" s="299" t="s">
        <v>131</v>
      </c>
      <c r="M261" s="286">
        <f>(5/32*($H$256/$H$254-1)^2+1)*$M$260/($M$259^3)</f>
        <v>25.2874009107775</v>
      </c>
      <c r="N261" s="284"/>
      <c r="O261" s="262"/>
      <c r="P261" s="293"/>
      <c r="Q261" s="294"/>
      <c r="R261" s="294"/>
      <c r="S261" s="294"/>
      <c r="T261" s="294"/>
      <c r="U261" s="294"/>
      <c r="V261" s="294"/>
      <c r="W261" s="301"/>
      <c r="X261" s="302"/>
      <c r="Y261" s="270"/>
      <c r="Z261" s="274"/>
      <c r="AA261" s="301"/>
      <c r="AB261" s="10"/>
      <c r="AC261" s="10"/>
      <c r="AD261" s="10"/>
      <c r="AE261" s="1"/>
      <c r="AF261" s="2"/>
      <c r="AG261" s="1"/>
      <c r="AH261" s="3"/>
      <c r="AL261" s="4"/>
    </row>
    <row r="262" customFormat="1" spans="1:38">
      <c r="A262" s="5"/>
      <c r="B262" s="5"/>
      <c r="C262" s="9"/>
      <c r="D262" s="9"/>
      <c r="E262" s="9"/>
      <c r="F262" s="9"/>
      <c r="G262" s="266">
        <v>2.5</v>
      </c>
      <c r="H262" s="10">
        <v>-3600</v>
      </c>
      <c r="I262" s="300">
        <f t="shared" si="7"/>
        <v>-3600.00137834285</v>
      </c>
      <c r="J262" s="298">
        <f t="shared" si="8"/>
        <v>1.89982900553488e-6</v>
      </c>
      <c r="K262" s="284"/>
      <c r="L262" s="299" t="s">
        <v>132</v>
      </c>
      <c r="M262" s="286">
        <f>SQRT(-$M$260/2+SQRT(($M$260/2)^2+$M$261))</f>
        <v>1</v>
      </c>
      <c r="N262" s="284"/>
      <c r="O262" s="262"/>
      <c r="P262" s="268"/>
      <c r="Q262" s="9"/>
      <c r="R262" s="9"/>
      <c r="S262" s="9"/>
      <c r="T262" s="9"/>
      <c r="U262" s="9"/>
      <c r="V262" s="9"/>
      <c r="W262" s="10"/>
      <c r="X262" s="302"/>
      <c r="Y262" s="270"/>
      <c r="Z262" s="277"/>
      <c r="AA262" s="10"/>
      <c r="AB262" s="10"/>
      <c r="AC262" s="10"/>
      <c r="AD262" s="10"/>
      <c r="AE262" s="1"/>
      <c r="AF262" s="2"/>
      <c r="AG262" s="1"/>
      <c r="AH262" s="3"/>
      <c r="AL262" s="4"/>
    </row>
    <row r="263" customFormat="1" ht="18.75" spans="1:38">
      <c r="A263" s="5"/>
      <c r="B263" s="5"/>
      <c r="C263" s="9"/>
      <c r="D263" s="9"/>
      <c r="E263" s="9"/>
      <c r="F263" s="9"/>
      <c r="G263" s="303"/>
      <c r="H263" s="304"/>
      <c r="I263" s="305"/>
      <c r="J263" s="306"/>
      <c r="K263" s="284"/>
      <c r="L263" s="307" t="s">
        <v>67</v>
      </c>
      <c r="M263" s="308">
        <f>($H$256-$H$255)*$M$262</f>
        <v>0.77</v>
      </c>
      <c r="N263" s="284"/>
      <c r="O263" s="262"/>
      <c r="P263" s="309"/>
      <c r="Q263" s="310"/>
      <c r="R263" s="310"/>
      <c r="S263" s="310"/>
      <c r="T263" s="310"/>
      <c r="U263" s="310"/>
      <c r="V263" s="310"/>
      <c r="W263" s="10"/>
      <c r="X263" s="286"/>
      <c r="Y263" s="270"/>
      <c r="Z263" s="311"/>
      <c r="AA263" s="10"/>
      <c r="AB263" s="10"/>
      <c r="AC263" s="10"/>
      <c r="AD263" s="10"/>
      <c r="AE263" s="1"/>
      <c r="AF263" s="2"/>
      <c r="AG263" s="1"/>
      <c r="AH263" s="3"/>
      <c r="AL263" s="4"/>
    </row>
    <row r="264" customFormat="1" ht="18.75" spans="1:38">
      <c r="A264" s="5"/>
      <c r="B264" s="5"/>
      <c r="C264" s="9"/>
      <c r="D264" s="9"/>
      <c r="E264" s="9"/>
      <c r="F264" s="9"/>
      <c r="G264" s="266"/>
      <c r="H264" s="10"/>
      <c r="I264" s="297"/>
      <c r="J264" s="298">
        <f>SUM(J260:J263)</f>
        <v>5.25608004247073e-6</v>
      </c>
      <c r="K264" s="284"/>
      <c r="L264" s="284"/>
      <c r="M264" s="284"/>
      <c r="N264" s="284"/>
      <c r="O264" s="278"/>
      <c r="P264" s="312"/>
      <c r="Q264" s="313"/>
      <c r="R264" s="313"/>
      <c r="S264" s="313"/>
      <c r="T264" s="313"/>
      <c r="U264" s="313"/>
      <c r="V264" s="313"/>
      <c r="W264" s="314"/>
      <c r="X264" s="308"/>
      <c r="Y264" s="315"/>
      <c r="Z264" s="316"/>
      <c r="AA264" s="314"/>
      <c r="AB264" s="10"/>
      <c r="AC264" s="10"/>
      <c r="AD264" s="10"/>
      <c r="AE264" s="1"/>
      <c r="AF264" s="2"/>
      <c r="AG264" s="1"/>
      <c r="AH264" s="3"/>
      <c r="AL264" s="4"/>
    </row>
    <row r="265" customFormat="1" ht="18.75" spans="1:38">
      <c r="A265" s="5"/>
      <c r="B265" s="5"/>
      <c r="C265" s="9"/>
      <c r="D265" s="9"/>
      <c r="E265" s="9"/>
      <c r="F265" s="9"/>
      <c r="G265" s="266" t="s">
        <v>133</v>
      </c>
      <c r="H265" s="10">
        <v>3400.02428231239</v>
      </c>
      <c r="I265" s="297"/>
      <c r="J265" s="298"/>
      <c r="K265" s="284"/>
      <c r="L265" s="284"/>
      <c r="M265" s="284"/>
      <c r="N265" s="284"/>
      <c r="O265" s="284"/>
      <c r="P265" s="9"/>
      <c r="Q265" s="9"/>
      <c r="R265" s="9"/>
      <c r="S265" s="9"/>
      <c r="T265" s="9"/>
      <c r="U265" s="9"/>
      <c r="V265" s="9"/>
      <c r="W265" s="10"/>
      <c r="X265" s="9"/>
      <c r="Y265" s="10"/>
      <c r="Z265" s="10"/>
      <c r="AA265" s="10"/>
      <c r="AB265" s="10"/>
      <c r="AC265" s="10"/>
      <c r="AD265" s="10"/>
      <c r="AE265" s="1"/>
      <c r="AF265" s="2"/>
      <c r="AG265" s="1"/>
      <c r="AH265" s="3"/>
      <c r="AL265" s="4"/>
    </row>
    <row r="266" customFormat="1" spans="1:38">
      <c r="A266" s="5"/>
      <c r="B266" s="5"/>
      <c r="C266" s="9"/>
      <c r="D266" s="9"/>
      <c r="E266" s="9"/>
      <c r="F266" s="9"/>
      <c r="G266" s="266" t="s">
        <v>134</v>
      </c>
      <c r="H266" s="10">
        <v>-5800.02297562422</v>
      </c>
      <c r="I266" s="297" t="s">
        <v>135</v>
      </c>
      <c r="J266" s="298"/>
      <c r="K266" s="284"/>
      <c r="L266" s="287"/>
      <c r="M266" s="317"/>
      <c r="N266" s="289"/>
      <c r="O266" s="289"/>
      <c r="P266" s="317"/>
      <c r="Q266" s="317"/>
      <c r="R266" s="317"/>
      <c r="S266" s="317"/>
      <c r="T266" s="317"/>
      <c r="U266" s="317"/>
      <c r="V266" s="317"/>
      <c r="W266" s="318"/>
      <c r="X266" s="254"/>
      <c r="Y266" s="318"/>
      <c r="Z266" s="318"/>
      <c r="AA266" s="319"/>
      <c r="AB266" s="10"/>
      <c r="AC266" s="10"/>
      <c r="AD266" s="10"/>
      <c r="AE266" s="1"/>
      <c r="AF266" s="2"/>
      <c r="AG266" s="1"/>
      <c r="AH266" s="3"/>
      <c r="AL266" s="4"/>
    </row>
    <row r="267" customFormat="1" ht="18.75" spans="1:38">
      <c r="A267" s="5"/>
      <c r="B267" s="5"/>
      <c r="C267" s="9"/>
      <c r="D267" s="9"/>
      <c r="E267" s="9"/>
      <c r="F267" s="9"/>
      <c r="G267" s="282" t="s">
        <v>136</v>
      </c>
      <c r="H267" s="314">
        <v>1200.00508454485</v>
      </c>
      <c r="I267" s="320" t="s">
        <v>137</v>
      </c>
      <c r="J267" s="321"/>
      <c r="K267" s="284"/>
      <c r="L267" s="322"/>
      <c r="M267" s="305"/>
      <c r="N267" s="305"/>
      <c r="O267" s="305"/>
      <c r="P267" s="305"/>
      <c r="Q267" s="305"/>
      <c r="R267" s="305"/>
      <c r="S267" s="305"/>
      <c r="T267" s="305"/>
      <c r="U267" s="305"/>
      <c r="V267" s="305"/>
      <c r="W267" s="304"/>
      <c r="X267" s="305"/>
      <c r="Y267" s="304"/>
      <c r="Z267" s="304"/>
      <c r="AA267" s="323"/>
      <c r="AB267" s="10"/>
      <c r="AC267" s="10"/>
      <c r="AD267" s="10"/>
      <c r="AE267" s="1"/>
      <c r="AF267" s="2"/>
      <c r="AG267" s="1"/>
      <c r="AH267" s="3"/>
      <c r="AL267" s="4"/>
    </row>
    <row r="268" customFormat="1" spans="1:38">
      <c r="A268" s="5"/>
      <c r="B268" s="5"/>
      <c r="C268" s="9"/>
      <c r="D268" s="9"/>
      <c r="E268" s="9"/>
      <c r="F268" s="9"/>
      <c r="G268" s="284"/>
      <c r="H268" s="285"/>
      <c r="I268" s="284"/>
      <c r="J268" s="284"/>
      <c r="K268" s="284"/>
      <c r="L268" s="324"/>
      <c r="M268" s="325"/>
      <c r="N268" s="326"/>
      <c r="O268" s="297"/>
      <c r="P268" s="325"/>
      <c r="Q268" s="297"/>
      <c r="R268" s="297"/>
      <c r="S268" s="297"/>
      <c r="T268" s="297"/>
      <c r="U268" s="297"/>
      <c r="V268" s="297"/>
      <c r="W268" s="327"/>
      <c r="X268" s="297"/>
      <c r="Y268" s="328"/>
      <c r="Z268" s="10"/>
      <c r="AA268" s="329"/>
      <c r="AB268" s="10"/>
      <c r="AC268" s="10"/>
      <c r="AD268" s="10"/>
      <c r="AE268" s="1"/>
      <c r="AF268" s="2"/>
      <c r="AG268" s="1"/>
      <c r="AH268" s="3"/>
      <c r="AL268" s="4"/>
    </row>
    <row r="269" customFormat="1" spans="1:38">
      <c r="A269" s="5"/>
      <c r="B269" s="5"/>
      <c r="C269" s="9"/>
      <c r="D269" s="9"/>
      <c r="E269" s="9"/>
      <c r="F269" s="9"/>
      <c r="G269" s="330">
        <v>4</v>
      </c>
      <c r="H269" s="285"/>
      <c r="I269" s="284"/>
      <c r="J269" s="284"/>
      <c r="K269" s="284"/>
      <c r="L269" s="324"/>
      <c r="M269" s="325"/>
      <c r="N269" s="326"/>
      <c r="O269" s="297"/>
      <c r="P269" s="325"/>
      <c r="Q269" s="297"/>
      <c r="R269" s="297"/>
      <c r="S269" s="297"/>
      <c r="T269" s="297"/>
      <c r="U269" s="297"/>
      <c r="V269" s="297"/>
      <c r="W269" s="327"/>
      <c r="X269" s="297"/>
      <c r="Y269" s="328"/>
      <c r="Z269" s="10"/>
      <c r="AA269" s="329"/>
      <c r="AB269" s="10"/>
      <c r="AC269" s="10"/>
      <c r="AD269" s="10"/>
      <c r="AE269" s="1"/>
      <c r="AF269" s="2"/>
      <c r="AG269" s="1"/>
      <c r="AH269" s="3"/>
      <c r="AL269" s="4"/>
    </row>
    <row r="270" customFormat="1" spans="1:38">
      <c r="A270" s="5"/>
      <c r="B270" s="5"/>
      <c r="C270" s="9"/>
      <c r="D270" s="9"/>
      <c r="E270" s="9"/>
      <c r="F270" s="9"/>
      <c r="G270" s="331">
        <v>1</v>
      </c>
      <c r="H270" s="285"/>
      <c r="I270" s="284"/>
      <c r="J270" s="284"/>
      <c r="K270" s="284"/>
      <c r="L270" s="332"/>
      <c r="M270" s="325"/>
      <c r="N270" s="326"/>
      <c r="O270" s="297"/>
      <c r="P270" s="325"/>
      <c r="Q270" s="297"/>
      <c r="R270" s="297"/>
      <c r="S270" s="297"/>
      <c r="T270" s="297"/>
      <c r="U270" s="297"/>
      <c r="V270" s="297"/>
      <c r="W270" s="327"/>
      <c r="X270" s="297"/>
      <c r="Y270" s="328"/>
      <c r="Z270" s="10"/>
      <c r="AA270" s="329"/>
      <c r="AB270" s="10"/>
      <c r="AC270" s="10"/>
      <c r="AD270" s="10"/>
      <c r="AE270" s="1"/>
      <c r="AF270" s="2"/>
      <c r="AG270" s="1"/>
      <c r="AH270" s="3"/>
      <c r="AL270" s="4"/>
    </row>
    <row r="271" customFormat="1" spans="1:38">
      <c r="A271" s="5"/>
      <c r="B271" s="5"/>
      <c r="C271" s="9"/>
      <c r="D271" s="9"/>
      <c r="E271" s="9"/>
      <c r="F271" s="9"/>
      <c r="G271" s="333" t="s">
        <v>23</v>
      </c>
      <c r="H271" s="334">
        <f>H9</f>
        <v>1.5</v>
      </c>
      <c r="I271" s="335" t="str">
        <f>$H$303</f>
        <v> mm</v>
      </c>
      <c r="J271" s="284"/>
      <c r="K271" s="284"/>
      <c r="L271" s="332"/>
      <c r="M271" s="325"/>
      <c r="N271" s="326"/>
      <c r="O271" s="297"/>
      <c r="P271" s="325"/>
      <c r="Q271" s="297"/>
      <c r="R271" s="297"/>
      <c r="S271" s="297"/>
      <c r="T271" s="297"/>
      <c r="U271" s="297"/>
      <c r="V271" s="297"/>
      <c r="W271" s="327"/>
      <c r="X271" s="297"/>
      <c r="Y271" s="328"/>
      <c r="Z271" s="10"/>
      <c r="AA271" s="329"/>
      <c r="AB271" s="10"/>
      <c r="AC271" s="10"/>
      <c r="AD271" s="10"/>
      <c r="AE271" s="1"/>
      <c r="AF271" s="2"/>
      <c r="AG271" s="1"/>
      <c r="AH271" s="3"/>
      <c r="AL271" s="4"/>
    </row>
    <row r="272" customFormat="1" ht="19.5" spans="1:38">
      <c r="A272" s="5"/>
      <c r="B272" s="5"/>
      <c r="C272" s="284"/>
      <c r="D272" s="284"/>
      <c r="E272" s="284"/>
      <c r="F272" s="284"/>
      <c r="G272" s="336" t="s">
        <v>138</v>
      </c>
      <c r="H272" s="337">
        <f>$H$11-$H$271</f>
        <v>0.77</v>
      </c>
      <c r="I272" s="284"/>
      <c r="J272" s="284"/>
      <c r="K272" s="284"/>
      <c r="L272" s="324"/>
      <c r="M272" s="338"/>
      <c r="N272" s="326"/>
      <c r="O272" s="297"/>
      <c r="P272" s="338"/>
      <c r="Q272" s="339"/>
      <c r="R272" s="339"/>
      <c r="S272" s="339"/>
      <c r="T272" s="339"/>
      <c r="U272" s="339"/>
      <c r="V272" s="339"/>
      <c r="W272" s="327"/>
      <c r="X272" s="297"/>
      <c r="Y272" s="340"/>
      <c r="Z272" s="10"/>
      <c r="AA272" s="329"/>
      <c r="AB272" s="10"/>
      <c r="AC272" s="10"/>
      <c r="AD272" s="10"/>
      <c r="AE272" s="1"/>
      <c r="AF272" s="2"/>
      <c r="AG272" s="1"/>
      <c r="AH272" s="3"/>
      <c r="AL272" s="4"/>
    </row>
    <row r="273" customFormat="1" ht="19.5" spans="1:38">
      <c r="A273" s="5"/>
      <c r="B273" s="5"/>
      <c r="C273" s="284"/>
      <c r="D273" s="284"/>
      <c r="E273" s="284"/>
      <c r="F273" s="284"/>
      <c r="G273" s="341" t="s">
        <v>139</v>
      </c>
      <c r="H273" s="342">
        <f>$H$272/$H$271</f>
        <v>0.513333333333333</v>
      </c>
      <c r="I273" s="343" t="s">
        <v>140</v>
      </c>
      <c r="J273" s="344">
        <f>$H$251/$H$252</f>
        <v>1.61849710982659</v>
      </c>
      <c r="K273" s="284"/>
      <c r="L273" s="324"/>
      <c r="M273" s="338"/>
      <c r="N273" s="326"/>
      <c r="O273" s="297"/>
      <c r="P273" s="338"/>
      <c r="Q273" s="339"/>
      <c r="R273" s="339"/>
      <c r="S273" s="339"/>
      <c r="T273" s="339"/>
      <c r="U273" s="339"/>
      <c r="V273" s="339"/>
      <c r="W273" s="327"/>
      <c r="X273" s="297"/>
      <c r="Y273" s="340"/>
      <c r="Z273" s="10"/>
      <c r="AA273" s="329"/>
      <c r="AB273" s="10"/>
      <c r="AC273" s="10"/>
      <c r="AD273" s="10"/>
      <c r="AE273" s="1"/>
      <c r="AF273" s="2"/>
      <c r="AG273" s="1"/>
      <c r="AH273" s="3"/>
      <c r="AL273" s="4"/>
    </row>
    <row r="274" customFormat="1" ht="19.5" spans="1:38">
      <c r="A274" s="5"/>
      <c r="B274" s="5"/>
      <c r="C274" s="284"/>
      <c r="D274" s="284"/>
      <c r="E274" s="284"/>
      <c r="F274" s="284"/>
      <c r="G274" s="345" t="s">
        <v>141</v>
      </c>
      <c r="H274" s="346">
        <f>$H$13/$H$9</f>
        <v>0.513333333333333</v>
      </c>
      <c r="I274" s="284"/>
      <c r="J274" s="284"/>
      <c r="K274" s="284"/>
      <c r="L274" s="303"/>
      <c r="M274" s="347"/>
      <c r="N274" s="305"/>
      <c r="O274" s="305"/>
      <c r="P274" s="347"/>
      <c r="Q274" s="305"/>
      <c r="R274" s="305"/>
      <c r="S274" s="305"/>
      <c r="T274" s="305"/>
      <c r="U274" s="305"/>
      <c r="V274" s="305"/>
      <c r="W274" s="304"/>
      <c r="X274" s="305"/>
      <c r="Y274" s="348"/>
      <c r="Z274" s="304"/>
      <c r="AA274" s="323"/>
      <c r="AB274" s="10"/>
      <c r="AC274" s="10"/>
      <c r="AD274" s="10"/>
      <c r="AE274" s="1"/>
      <c r="AF274" s="2"/>
      <c r="AG274" s="1"/>
      <c r="AH274" s="3"/>
      <c r="AL274" s="4"/>
    </row>
    <row r="275" customFormat="1" spans="1:38">
      <c r="A275" s="5"/>
      <c r="B275" s="5"/>
      <c r="C275" s="249"/>
      <c r="D275" s="249"/>
      <c r="E275" s="249"/>
      <c r="F275" s="249"/>
      <c r="G275" s="284"/>
      <c r="H275" s="285"/>
      <c r="I275" s="284"/>
      <c r="J275" s="284"/>
      <c r="K275" s="284"/>
      <c r="L275" s="266"/>
      <c r="M275" s="325"/>
      <c r="N275" s="297"/>
      <c r="O275" s="297"/>
      <c r="P275" s="325"/>
      <c r="Q275" s="297"/>
      <c r="R275" s="297"/>
      <c r="S275" s="297"/>
      <c r="T275" s="297"/>
      <c r="U275" s="297"/>
      <c r="V275" s="297"/>
      <c r="W275" s="10"/>
      <c r="X275" s="297"/>
      <c r="Y275" s="328"/>
      <c r="Z275" s="10"/>
      <c r="AA275" s="329"/>
      <c r="AB275" s="10"/>
      <c r="AC275" s="10"/>
      <c r="AD275" s="10"/>
      <c r="AE275" s="1"/>
      <c r="AF275" s="2"/>
      <c r="AG275" s="1"/>
      <c r="AH275" s="3"/>
      <c r="AL275" s="4"/>
    </row>
    <row r="276" customFormat="1" ht="18.75" spans="1:38">
      <c r="A276" s="5"/>
      <c r="B276" s="5"/>
      <c r="C276" s="249"/>
      <c r="D276" s="249"/>
      <c r="E276" s="249"/>
      <c r="F276" s="249"/>
      <c r="G276" s="284"/>
      <c r="H276" s="285"/>
      <c r="I276" s="284"/>
      <c r="J276" s="284"/>
      <c r="K276" s="284"/>
      <c r="L276" s="266"/>
      <c r="M276" s="325"/>
      <c r="N276" s="297"/>
      <c r="O276" s="297"/>
      <c r="P276" s="325"/>
      <c r="Q276" s="297"/>
      <c r="R276" s="297"/>
      <c r="S276" s="297"/>
      <c r="T276" s="297"/>
      <c r="U276" s="297"/>
      <c r="V276" s="297"/>
      <c r="W276" s="10"/>
      <c r="X276" s="297"/>
      <c r="Y276" s="328"/>
      <c r="Z276" s="10"/>
      <c r="AA276" s="329"/>
      <c r="AB276" s="10"/>
      <c r="AC276" s="10"/>
      <c r="AD276" s="10"/>
      <c r="AE276" s="1"/>
      <c r="AF276" s="2"/>
      <c r="AG276" s="1"/>
      <c r="AH276" s="3"/>
      <c r="AL276" s="4"/>
    </row>
    <row r="277" customFormat="1" ht="18.75" spans="1:38">
      <c r="A277" s="5"/>
      <c r="B277" s="5"/>
      <c r="C277" s="349"/>
      <c r="D277" s="349"/>
      <c r="E277" s="349"/>
      <c r="F277" s="349"/>
      <c r="G277" s="350" t="s">
        <v>142</v>
      </c>
      <c r="H277" s="351" t="s">
        <v>143</v>
      </c>
      <c r="I277" s="284"/>
      <c r="J277" s="284"/>
      <c r="K277" s="284"/>
      <c r="L277" s="282"/>
      <c r="M277" s="352"/>
      <c r="N277" s="320"/>
      <c r="O277" s="320"/>
      <c r="P277" s="352"/>
      <c r="Q277" s="320"/>
      <c r="R277" s="320"/>
      <c r="S277" s="320"/>
      <c r="T277" s="320"/>
      <c r="U277" s="320"/>
      <c r="V277" s="320"/>
      <c r="W277" s="314"/>
      <c r="X277" s="320"/>
      <c r="Y277" s="353"/>
      <c r="Z277" s="314"/>
      <c r="AA277" s="354"/>
      <c r="AB277" s="10"/>
      <c r="AC277" s="10"/>
      <c r="AD277" s="10"/>
      <c r="AE277" s="1"/>
      <c r="AF277" s="2"/>
      <c r="AG277" s="1"/>
      <c r="AH277" s="3"/>
      <c r="AL277" s="4"/>
    </row>
    <row r="278" customFormat="1" ht="18.75" spans="1:38">
      <c r="A278" s="5"/>
      <c r="B278" s="5"/>
      <c r="C278" s="349"/>
      <c r="D278" s="349"/>
      <c r="E278" s="349"/>
      <c r="F278" s="349"/>
      <c r="G278" s="355"/>
      <c r="H278" s="356"/>
      <c r="I278" s="284"/>
      <c r="J278" s="284"/>
      <c r="K278" s="284"/>
      <c r="L278" s="284"/>
      <c r="M278" s="284"/>
      <c r="N278" s="284"/>
      <c r="O278" s="284"/>
      <c r="P278" s="9"/>
      <c r="Q278" s="9"/>
      <c r="R278" s="9"/>
      <c r="S278" s="9"/>
      <c r="T278" s="9"/>
      <c r="U278" s="9"/>
      <c r="V278" s="9"/>
      <c r="W278" s="10"/>
      <c r="X278" s="9"/>
      <c r="Y278" s="10"/>
      <c r="Z278" s="10"/>
      <c r="AA278" s="10"/>
      <c r="AB278" s="10"/>
      <c r="AC278" s="10"/>
      <c r="AD278" s="8"/>
      <c r="AE278" s="1"/>
      <c r="AF278" s="2"/>
      <c r="AG278" s="1"/>
      <c r="AH278" s="3"/>
      <c r="AL278" s="4"/>
    </row>
    <row r="279" customFormat="1" spans="1:38">
      <c r="A279" s="5"/>
      <c r="B279" s="5"/>
      <c r="C279" s="349"/>
      <c r="D279" s="349"/>
      <c r="E279" s="349"/>
      <c r="F279" s="349"/>
      <c r="G279" s="355" t="e">
        <f>($J$256/$H$255-#REF!*$H$301/$H$255)*($J$256/$H$255-#REF!*$H$301/2/$H$255)+$J$254</f>
        <v>#REF!</v>
      </c>
      <c r="H279" s="356"/>
      <c r="I279" s="284"/>
      <c r="J279" s="284"/>
      <c r="K279" s="284"/>
      <c r="L279" s="287"/>
      <c r="M279" s="317"/>
      <c r="N279" s="317"/>
      <c r="O279" s="317"/>
      <c r="P279" s="317"/>
      <c r="Q279" s="317"/>
      <c r="R279" s="317"/>
      <c r="S279" s="317"/>
      <c r="T279" s="317"/>
      <c r="U279" s="317"/>
      <c r="V279" s="317"/>
      <c r="W279" s="318"/>
      <c r="X279" s="357"/>
      <c r="Y279" s="10"/>
      <c r="Z279" s="10"/>
      <c r="AA279" s="10"/>
      <c r="AB279" s="10"/>
      <c r="AC279" s="10"/>
      <c r="AD279" s="8"/>
      <c r="AE279" s="1"/>
      <c r="AF279" s="2"/>
      <c r="AG279" s="1"/>
      <c r="AH279" s="3"/>
      <c r="AL279" s="4"/>
    </row>
    <row r="280" customFormat="1" spans="1:38">
      <c r="A280" s="5"/>
      <c r="B280" s="5"/>
      <c r="C280" s="349"/>
      <c r="D280" s="349"/>
      <c r="E280" s="349"/>
      <c r="F280" s="349"/>
      <c r="G280" s="358" t="e">
        <f>$M$262*($M$263/$H$255-#REF!*$H$301*$M$262/$H$255)*($M$263/$H$255-#REF!*$H$301*$M$262/2/$H$255)+$J$254</f>
        <v>#REF!</v>
      </c>
      <c r="H280" s="356" t="e">
        <f>#REF!*1</f>
        <v>#REF!</v>
      </c>
      <c r="I280" s="284"/>
      <c r="J280" s="284"/>
      <c r="K280" s="284"/>
      <c r="L280" s="322"/>
      <c r="M280" s="305"/>
      <c r="N280" s="305"/>
      <c r="O280" s="305"/>
      <c r="P280" s="305"/>
      <c r="Q280" s="305"/>
      <c r="R280" s="305"/>
      <c r="S280" s="305"/>
      <c r="T280" s="305"/>
      <c r="U280" s="305"/>
      <c r="V280" s="305"/>
      <c r="W280" s="304"/>
      <c r="X280" s="306"/>
      <c r="Y280" s="10"/>
      <c r="Z280" s="10"/>
      <c r="AA280" s="10"/>
      <c r="AB280" s="10"/>
      <c r="AC280" s="10"/>
      <c r="AD280" s="8"/>
      <c r="AE280" s="1"/>
      <c r="AF280" s="2"/>
      <c r="AG280" s="1"/>
      <c r="AH280" s="3"/>
      <c r="AL280" s="4"/>
    </row>
    <row r="281" customFormat="1" spans="1:38">
      <c r="A281" s="5"/>
      <c r="B281" s="5"/>
      <c r="C281" s="349"/>
      <c r="D281" s="349"/>
      <c r="E281" s="349"/>
      <c r="F281" s="349"/>
      <c r="G281" s="355" t="e">
        <f>($M$263/$H$255-#REF!*$H$301*$M$262/$H$255)*($M$263/$H$255-#REF!*$H$301*$M$262/2/$H$255)+$J$254</f>
        <v>#REF!</v>
      </c>
      <c r="H281" s="356" t="e">
        <f>#REF!*1</f>
        <v>#REF!</v>
      </c>
      <c r="I281" s="9"/>
      <c r="J281" s="359"/>
      <c r="K281" s="9"/>
      <c r="L281" s="360"/>
      <c r="M281" s="361"/>
      <c r="N281" s="300"/>
      <c r="O281" s="297"/>
      <c r="P281" s="361"/>
      <c r="Q281" s="300"/>
      <c r="R281" s="300"/>
      <c r="S281" s="300"/>
      <c r="T281" s="300"/>
      <c r="U281" s="300"/>
      <c r="V281" s="300"/>
      <c r="W281" s="327"/>
      <c r="X281" s="298"/>
      <c r="Y281" s="10"/>
      <c r="Z281" s="10"/>
      <c r="AA281" s="10"/>
      <c r="AB281" s="10"/>
      <c r="AC281" s="10"/>
      <c r="AD281" s="8"/>
      <c r="AE281" s="1"/>
      <c r="AF281" s="2"/>
      <c r="AG281" s="1"/>
      <c r="AH281" s="3"/>
      <c r="AL281" s="4"/>
    </row>
    <row r="282" customFormat="1" spans="1:38">
      <c r="A282" s="5"/>
      <c r="B282" s="5"/>
      <c r="C282" s="349"/>
      <c r="D282" s="349"/>
      <c r="E282" s="349"/>
      <c r="F282" s="349"/>
      <c r="G282" s="355" t="e">
        <f>($M$263/$H$255-#REF!*$H$301*$M$262/$H$255)*($M$263/$H$255-#REF!*$H$301*$M$262/2/$H$255)+$J$254</f>
        <v>#REF!</v>
      </c>
      <c r="H282" s="356" t="e">
        <f>#REF!*1</f>
        <v>#REF!</v>
      </c>
      <c r="I282" s="9"/>
      <c r="J282" s="359"/>
      <c r="K282" s="9"/>
      <c r="L282" s="360"/>
      <c r="M282" s="361"/>
      <c r="N282" s="300"/>
      <c r="O282" s="297"/>
      <c r="P282" s="361"/>
      <c r="Q282" s="300"/>
      <c r="R282" s="300"/>
      <c r="S282" s="300"/>
      <c r="T282" s="300"/>
      <c r="U282" s="300"/>
      <c r="V282" s="300"/>
      <c r="W282" s="327"/>
      <c r="X282" s="298"/>
      <c r="Y282" s="10"/>
      <c r="Z282" s="10"/>
      <c r="AA282" s="10"/>
      <c r="AB282" s="10"/>
      <c r="AC282" s="10"/>
      <c r="AD282" s="8"/>
      <c r="AE282" s="1"/>
      <c r="AF282" s="2"/>
      <c r="AG282" s="1"/>
      <c r="AH282" s="3"/>
      <c r="AL282" s="4"/>
    </row>
    <row r="283" customFormat="1" spans="1:38">
      <c r="A283" s="5"/>
      <c r="B283" s="5"/>
      <c r="C283" s="349"/>
      <c r="D283" s="349"/>
      <c r="E283" s="349"/>
      <c r="F283" s="349"/>
      <c r="G283" s="355" t="e">
        <f>($M$263/$H$255-#REF!*$H$301*$M$262/$H$255)*($M$263/$H$255-#REF!*$H$301*$M$262/2/$H$255)+$J$254</f>
        <v>#REF!</v>
      </c>
      <c r="H283" s="356" t="e">
        <f>#REF!*1</f>
        <v>#REF!</v>
      </c>
      <c r="I283" s="9"/>
      <c r="J283" s="359"/>
      <c r="K283" s="9"/>
      <c r="L283" s="362"/>
      <c r="M283" s="361"/>
      <c r="N283" s="300"/>
      <c r="O283" s="297"/>
      <c r="P283" s="361"/>
      <c r="Q283" s="300"/>
      <c r="R283" s="300"/>
      <c r="S283" s="300"/>
      <c r="T283" s="300"/>
      <c r="U283" s="300"/>
      <c r="V283" s="300"/>
      <c r="W283" s="327"/>
      <c r="X283" s="298"/>
      <c r="Y283" s="10"/>
      <c r="Z283" s="10"/>
      <c r="AA283" s="10"/>
      <c r="AB283" s="10"/>
      <c r="AC283" s="10"/>
      <c r="AD283" s="8"/>
      <c r="AE283" s="1"/>
      <c r="AF283" s="2"/>
      <c r="AG283" s="1"/>
      <c r="AH283" s="3"/>
      <c r="AL283" s="4"/>
    </row>
    <row r="284" customFormat="1" spans="1:38">
      <c r="A284" s="5"/>
      <c r="B284" s="5"/>
      <c r="C284" s="349"/>
      <c r="D284" s="349"/>
      <c r="E284" s="349"/>
      <c r="F284" s="349"/>
      <c r="G284" s="355" t="e">
        <f>($M$263/$H$255-#REF!*$H$301*$M$262/$H$255)*($M$263/$H$255-#REF!*$H$301*$M$262/2/$H$255)+$J$254</f>
        <v>#REF!</v>
      </c>
      <c r="H284" s="356" t="e">
        <f>#REF!*1</f>
        <v>#REF!</v>
      </c>
      <c r="I284" s="9"/>
      <c r="J284" s="9"/>
      <c r="K284" s="9"/>
      <c r="L284" s="362"/>
      <c r="M284" s="361"/>
      <c r="N284" s="300"/>
      <c r="O284" s="297"/>
      <c r="P284" s="361"/>
      <c r="Q284" s="300"/>
      <c r="R284" s="300"/>
      <c r="S284" s="300"/>
      <c r="T284" s="300"/>
      <c r="U284" s="300"/>
      <c r="V284" s="300"/>
      <c r="W284" s="327"/>
      <c r="X284" s="298"/>
      <c r="Y284" s="10"/>
      <c r="Z284" s="10"/>
      <c r="AA284" s="10"/>
      <c r="AB284" s="10"/>
      <c r="AC284" s="10"/>
      <c r="AD284" s="8"/>
      <c r="AE284" s="1"/>
      <c r="AF284" s="2"/>
      <c r="AG284" s="1"/>
      <c r="AH284" s="3"/>
      <c r="AL284" s="4"/>
    </row>
    <row r="285" customFormat="1" ht="18.75" spans="1:38">
      <c r="A285" s="5"/>
      <c r="B285" s="5"/>
      <c r="C285" s="349"/>
      <c r="D285" s="349"/>
      <c r="E285" s="349"/>
      <c r="F285" s="349"/>
      <c r="G285" s="363">
        <f>($M$263/$H$255-H289*$H$301*$M$262/$H$255)*($M$263/$H$255-H289*$H$301*$M$262/2/$H$255)+$J$254</f>
        <v>1</v>
      </c>
      <c r="H285" s="364" t="e">
        <f>#REF!*1</f>
        <v>#REF!</v>
      </c>
      <c r="I285" s="284"/>
      <c r="J285" s="284"/>
      <c r="K285" s="284"/>
      <c r="L285" s="360"/>
      <c r="M285" s="365"/>
      <c r="N285" s="300"/>
      <c r="O285" s="297"/>
      <c r="P285" s="365"/>
      <c r="Q285" s="366"/>
      <c r="R285" s="366"/>
      <c r="S285" s="366"/>
      <c r="T285" s="366"/>
      <c r="U285" s="366"/>
      <c r="V285" s="366"/>
      <c r="W285" s="327"/>
      <c r="X285" s="298"/>
      <c r="Y285" s="10"/>
      <c r="Z285" s="10"/>
      <c r="AA285" s="10"/>
      <c r="AB285" s="10"/>
      <c r="AC285" s="10"/>
      <c r="AD285" s="8"/>
      <c r="AE285" s="1"/>
      <c r="AF285" s="2"/>
      <c r="AG285" s="1"/>
      <c r="AH285" s="3"/>
      <c r="AL285" s="4"/>
    </row>
    <row r="286" customFormat="1" spans="1:38">
      <c r="A286" s="5"/>
      <c r="B286" s="5"/>
      <c r="C286" s="9"/>
      <c r="D286" s="9"/>
      <c r="E286" s="9"/>
      <c r="F286" s="9"/>
      <c r="G286" s="284"/>
      <c r="H286" s="285"/>
      <c r="I286" s="284"/>
      <c r="J286" s="284"/>
      <c r="K286" s="284"/>
      <c r="L286" s="360"/>
      <c r="M286" s="365"/>
      <c r="N286" s="300"/>
      <c r="O286" s="297"/>
      <c r="P286" s="365"/>
      <c r="Q286" s="366"/>
      <c r="R286" s="366"/>
      <c r="S286" s="366"/>
      <c r="T286" s="366"/>
      <c r="U286" s="366"/>
      <c r="V286" s="366"/>
      <c r="W286" s="327"/>
      <c r="X286" s="298"/>
      <c r="Y286" s="10"/>
      <c r="Z286" s="10"/>
      <c r="AA286" s="10"/>
      <c r="AB286" s="10"/>
      <c r="AC286" s="10"/>
      <c r="AD286" s="10"/>
      <c r="AE286" s="1"/>
      <c r="AF286" s="2"/>
      <c r="AG286" s="1"/>
      <c r="AH286" s="3"/>
      <c r="AL286" s="4"/>
    </row>
    <row r="287" customFormat="1" spans="1:38">
      <c r="A287" s="5"/>
      <c r="B287" s="5"/>
      <c r="C287" s="9"/>
      <c r="D287" s="9"/>
      <c r="E287" s="9"/>
      <c r="F287" s="9"/>
      <c r="G287" s="367" t="e">
        <f>#REF!</f>
        <v>#REF!</v>
      </c>
      <c r="H287" s="368" t="e">
        <f>#REF!</f>
        <v>#REF!</v>
      </c>
      <c r="I287" s="284"/>
      <c r="J287" s="284"/>
      <c r="K287" s="284"/>
      <c r="L287" s="303"/>
      <c r="M287" s="347"/>
      <c r="N287" s="305"/>
      <c r="O287" s="305"/>
      <c r="P287" s="347"/>
      <c r="Q287" s="305"/>
      <c r="R287" s="305"/>
      <c r="S287" s="305"/>
      <c r="T287" s="305"/>
      <c r="U287" s="305"/>
      <c r="V287" s="305"/>
      <c r="W287" s="304"/>
      <c r="X287" s="306"/>
      <c r="Y287" s="10"/>
      <c r="Z287" s="10"/>
      <c r="AA287" s="10"/>
      <c r="AB287" s="10"/>
      <c r="AC287" s="10"/>
      <c r="AD287" s="10"/>
      <c r="AE287" s="1"/>
      <c r="AF287" s="2"/>
      <c r="AG287" s="1"/>
      <c r="AH287" s="3"/>
      <c r="AL287" s="4"/>
    </row>
    <row r="288" customFormat="1" spans="1:38">
      <c r="A288" s="5"/>
      <c r="B288" s="5"/>
      <c r="C288" s="9"/>
      <c r="D288" s="9"/>
      <c r="E288" s="9"/>
      <c r="F288" s="9"/>
      <c r="G288" s="367" t="str">
        <f>$H$303</f>
        <v> mm</v>
      </c>
      <c r="H288" s="368" t="str">
        <f>$H$303</f>
        <v> mm</v>
      </c>
      <c r="I288" s="284"/>
      <c r="J288" s="284"/>
      <c r="K288" s="284"/>
      <c r="L288" s="266"/>
      <c r="M288" s="325"/>
      <c r="N288" s="297"/>
      <c r="O288" s="297"/>
      <c r="P288" s="325"/>
      <c r="Q288" s="297"/>
      <c r="R288" s="297"/>
      <c r="S288" s="297"/>
      <c r="T288" s="297"/>
      <c r="U288" s="297"/>
      <c r="V288" s="297"/>
      <c r="W288" s="10"/>
      <c r="X288" s="298"/>
      <c r="Y288" s="10"/>
      <c r="Z288" s="10"/>
      <c r="AA288" s="10"/>
      <c r="AB288" s="10"/>
      <c r="AC288" s="10"/>
      <c r="AD288" s="10"/>
      <c r="AE288" s="1"/>
      <c r="AF288" s="2"/>
      <c r="AG288" s="1"/>
      <c r="AH288" s="3"/>
      <c r="AL288" s="4"/>
    </row>
    <row r="289" customFormat="1" spans="1:38">
      <c r="A289" s="5"/>
      <c r="B289" s="5"/>
      <c r="C289" s="9"/>
      <c r="D289" s="9"/>
      <c r="E289" s="9"/>
      <c r="F289" s="9"/>
      <c r="G289" s="369">
        <f>H9</f>
        <v>1.5</v>
      </c>
      <c r="H289" s="370">
        <f>IF((G289&gt;($H$11+0.00001)),"l_1 &gt; l_0",$H$11-G289)</f>
        <v>0.77</v>
      </c>
      <c r="I289" s="284"/>
      <c r="J289" s="284"/>
      <c r="K289" s="284"/>
      <c r="L289" s="266"/>
      <c r="M289" s="325"/>
      <c r="N289" s="297"/>
      <c r="O289" s="297"/>
      <c r="P289" s="325"/>
      <c r="Q289" s="297"/>
      <c r="R289" s="297"/>
      <c r="S289" s="297"/>
      <c r="T289" s="297"/>
      <c r="U289" s="297"/>
      <c r="V289" s="297"/>
      <c r="W289" s="10"/>
      <c r="X289" s="298"/>
      <c r="Y289" s="10"/>
      <c r="Z289" s="10"/>
      <c r="AA289" s="10"/>
      <c r="AB289" s="10"/>
      <c r="AC289" s="10"/>
      <c r="AD289" s="10"/>
      <c r="AE289" s="1"/>
      <c r="AF289" s="2"/>
      <c r="AG289" s="1"/>
      <c r="AH289" s="3"/>
      <c r="AL289" s="4"/>
    </row>
    <row r="290" customFormat="1" ht="18.75" spans="1:38">
      <c r="A290" s="5"/>
      <c r="B290" s="5"/>
      <c r="C290" s="9"/>
      <c r="D290" s="9"/>
      <c r="E290" s="9"/>
      <c r="F290" s="9"/>
      <c r="G290" s="9"/>
      <c r="H290" s="285"/>
      <c r="I290" s="284"/>
      <c r="J290" s="284"/>
      <c r="K290" s="284"/>
      <c r="L290" s="282"/>
      <c r="M290" s="352"/>
      <c r="N290" s="320"/>
      <c r="O290" s="320"/>
      <c r="P290" s="352"/>
      <c r="Q290" s="320"/>
      <c r="R290" s="320"/>
      <c r="S290" s="320"/>
      <c r="T290" s="320"/>
      <c r="U290" s="320"/>
      <c r="V290" s="320"/>
      <c r="W290" s="314"/>
      <c r="X290" s="321"/>
      <c r="Y290" s="10"/>
      <c r="Z290" s="10"/>
      <c r="AA290" s="371"/>
      <c r="AB290" s="371"/>
      <c r="AC290" s="371"/>
      <c r="AD290" s="10"/>
      <c r="AE290" s="1"/>
      <c r="AF290" s="2"/>
      <c r="AG290" s="1"/>
      <c r="AH290" s="3"/>
      <c r="AL290" s="4"/>
    </row>
    <row r="291" customFormat="1" ht="18.75" spans="1:38">
      <c r="A291" s="5"/>
      <c r="B291" s="5"/>
      <c r="C291" s="9"/>
      <c r="D291" s="9"/>
      <c r="E291" s="9"/>
      <c r="F291" s="9"/>
      <c r="G291" s="9"/>
      <c r="H291" s="285"/>
      <c r="I291" s="284"/>
      <c r="J291" s="284"/>
      <c r="K291" s="284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10"/>
      <c r="X291" s="9"/>
      <c r="Y291" s="10"/>
      <c r="Z291" s="10"/>
      <c r="AA291" s="10"/>
      <c r="AB291" s="10"/>
      <c r="AC291" s="10"/>
      <c r="AD291" s="10"/>
      <c r="AE291" s="1"/>
      <c r="AF291" s="2"/>
      <c r="AG291" s="1"/>
      <c r="AH291" s="3"/>
      <c r="AL291" s="4"/>
    </row>
    <row r="292" customFormat="1" spans="1:38">
      <c r="A292" s="5"/>
      <c r="B292" s="5"/>
      <c r="C292" s="249"/>
      <c r="D292" s="249"/>
      <c r="E292" s="249"/>
      <c r="F292" s="249"/>
      <c r="G292" s="9"/>
      <c r="H292" s="285"/>
      <c r="I292" s="284"/>
      <c r="J292" s="284"/>
      <c r="K292" s="284"/>
      <c r="L292" s="287"/>
      <c r="M292" s="317"/>
      <c r="N292" s="317"/>
      <c r="O292" s="317"/>
      <c r="P292" s="317"/>
      <c r="Q292" s="317"/>
      <c r="R292" s="317"/>
      <c r="S292" s="317"/>
      <c r="T292" s="317"/>
      <c r="U292" s="317"/>
      <c r="V292" s="317"/>
      <c r="W292" s="318"/>
      <c r="X292" s="357"/>
      <c r="Y292" s="10"/>
      <c r="Z292" s="10"/>
      <c r="AA292" s="10"/>
      <c r="AB292" s="10"/>
      <c r="AC292" s="10"/>
      <c r="AD292" s="10"/>
      <c r="AE292" s="1"/>
      <c r="AF292" s="2"/>
      <c r="AG292" s="1"/>
      <c r="AH292" s="3"/>
      <c r="AL292" s="4"/>
    </row>
    <row r="293" customFormat="1" spans="1:38">
      <c r="A293" s="5"/>
      <c r="B293" s="5"/>
      <c r="C293" s="249"/>
      <c r="D293" s="249"/>
      <c r="E293" s="249"/>
      <c r="F293" s="249"/>
      <c r="G293" s="9"/>
      <c r="H293" s="285"/>
      <c r="I293" s="284"/>
      <c r="J293" s="284"/>
      <c r="K293" s="284"/>
      <c r="L293" s="322"/>
      <c r="M293" s="305"/>
      <c r="N293" s="305"/>
      <c r="O293" s="305"/>
      <c r="P293" s="305"/>
      <c r="Q293" s="305"/>
      <c r="R293" s="305"/>
      <c r="S293" s="305"/>
      <c r="T293" s="305"/>
      <c r="U293" s="305"/>
      <c r="V293" s="305"/>
      <c r="W293" s="304"/>
      <c r="X293" s="306"/>
      <c r="Y293" s="10"/>
      <c r="Z293" s="10"/>
      <c r="AA293" s="10"/>
      <c r="AB293" s="10"/>
      <c r="AC293" s="10"/>
      <c r="AD293" s="10"/>
      <c r="AE293" s="1"/>
      <c r="AF293" s="2"/>
      <c r="AG293" s="1"/>
      <c r="AH293" s="3"/>
      <c r="AL293" s="4"/>
    </row>
    <row r="294" customFormat="1" ht="18.75" spans="1:38">
      <c r="A294" s="5"/>
      <c r="B294" s="5"/>
      <c r="C294" s="249"/>
      <c r="D294" s="249"/>
      <c r="E294" s="249"/>
      <c r="F294" s="249"/>
      <c r="G294" s="9"/>
      <c r="H294" s="285"/>
      <c r="I294" s="284"/>
      <c r="J294" s="284"/>
      <c r="K294" s="284"/>
      <c r="L294" s="360"/>
      <c r="M294" s="361"/>
      <c r="N294" s="300"/>
      <c r="O294" s="297"/>
      <c r="P294" s="361"/>
      <c r="Q294" s="300"/>
      <c r="R294" s="300"/>
      <c r="S294" s="300"/>
      <c r="T294" s="300"/>
      <c r="U294" s="300"/>
      <c r="V294" s="300"/>
      <c r="W294" s="327"/>
      <c r="X294" s="298"/>
      <c r="Y294" s="10"/>
      <c r="Z294" s="10"/>
      <c r="AA294" s="10"/>
      <c r="AB294" s="10"/>
      <c r="AC294" s="10"/>
      <c r="AD294" s="10"/>
      <c r="AE294" s="1"/>
      <c r="AF294" s="2"/>
      <c r="AG294" s="1"/>
      <c r="AH294" s="3"/>
      <c r="AL294" s="4"/>
    </row>
    <row r="295" customFormat="1" spans="1:38">
      <c r="A295" s="5"/>
      <c r="B295" s="5"/>
      <c r="C295" s="9"/>
      <c r="D295" s="9"/>
      <c r="E295" s="9"/>
      <c r="F295" s="9"/>
      <c r="G295" s="372" t="s">
        <v>144</v>
      </c>
      <c r="H295" s="373"/>
      <c r="I295" s="9"/>
      <c r="J295" s="9"/>
      <c r="K295" s="9"/>
      <c r="L295" s="360"/>
      <c r="M295" s="361"/>
      <c r="N295" s="300"/>
      <c r="O295" s="297"/>
      <c r="P295" s="361"/>
      <c r="Q295" s="300"/>
      <c r="R295" s="300"/>
      <c r="S295" s="300"/>
      <c r="T295" s="300"/>
      <c r="U295" s="300"/>
      <c r="V295" s="300"/>
      <c r="W295" s="327"/>
      <c r="X295" s="298"/>
      <c r="Y295" s="10"/>
      <c r="Z295" s="10"/>
      <c r="AA295" s="10"/>
      <c r="AB295" s="10"/>
      <c r="AC295" s="10"/>
      <c r="AD295" s="10"/>
      <c r="AE295" s="1"/>
      <c r="AF295" s="2"/>
      <c r="AG295" s="1"/>
      <c r="AH295" s="3"/>
      <c r="AL295" s="4"/>
    </row>
    <row r="296" customFormat="1" spans="1:38">
      <c r="A296" s="5"/>
      <c r="B296" s="5"/>
      <c r="C296" s="9"/>
      <c r="D296" s="9"/>
      <c r="E296" s="9"/>
      <c r="F296" s="9"/>
      <c r="G296" s="374">
        <f>IF($H$252&lt;6,$H$252+0.12,IF($H$252&lt;10,$H$252+0.15,IF($H$252&lt;18,$H$252+0.18,IF($H$252&lt;30,$H$252+0.21,IF($H$252&lt;50,$H$252+0.25,IF($H$252&lt;80,$H$252+0.3,IF($H$252&lt;120,$H$252+0.35,$H$296)))))))</f>
        <v>17.48</v>
      </c>
      <c r="H296" s="375">
        <f>IF($H$252&lt;180,$H$252+0.4,IF($H$252&lt;250,$H$252+0.46,IF($H$252&lt;315,$H$252+0.52,IF($H$252&lt;400,$H$252+0.57,IF($H$252&lt;500,$H$252+0.63,IF($H$252&lt;600,$H$252+0.68,$H$252+0.75))))))</f>
        <v>17.7</v>
      </c>
      <c r="I296" s="9"/>
      <c r="J296" s="9"/>
      <c r="K296" s="9"/>
      <c r="L296" s="362"/>
      <c r="M296" s="361"/>
      <c r="N296" s="300"/>
      <c r="O296" s="297"/>
      <c r="P296" s="361"/>
      <c r="Q296" s="300"/>
      <c r="R296" s="300"/>
      <c r="S296" s="300"/>
      <c r="T296" s="300"/>
      <c r="U296" s="300"/>
      <c r="V296" s="300"/>
      <c r="W296" s="327"/>
      <c r="X296" s="298"/>
      <c r="Y296" s="10"/>
      <c r="Z296" s="10"/>
      <c r="AA296" s="10"/>
      <c r="AB296" s="10"/>
      <c r="AC296" s="10"/>
      <c r="AD296" s="10"/>
      <c r="AE296" s="1"/>
      <c r="AF296" s="2"/>
      <c r="AG296" s="1"/>
      <c r="AH296" s="3"/>
      <c r="AL296" s="4"/>
    </row>
    <row r="297" customFormat="1" ht="18.75" spans="1:38">
      <c r="A297" s="5"/>
      <c r="B297" s="5"/>
      <c r="C297" s="249"/>
      <c r="D297" s="249"/>
      <c r="E297" s="249"/>
      <c r="F297" s="249"/>
      <c r="G297" s="376">
        <f>IF($H$251&lt;6,$H$251-0.12,IF($H$251&lt;10,$H$251-0.15,IF($H$251&lt;18,$H$251-0.18,IF($H$251&lt;30,$H$251-0.21,IF($H$251&lt;50,$H$251-0.25,IF($H$251&lt;80,$H$251-0.3,IF($H$251&lt;120,$H$251-0.35,$H$297)))))))</f>
        <v>27.79</v>
      </c>
      <c r="H297" s="377">
        <f>IF($H$251&lt;180,$H$251-0.4,IF($H$251&lt;250,$H$251-0.46,IF($H$251&lt;315,$H$251-0.52,IF($H$251&lt;400,$H$251-0.57,IF($H$251&lt;500,$H$251-0.63,IF($H$251&lt;600,$H$251-0.68,$H$251-0.75))))))</f>
        <v>27.6</v>
      </c>
      <c r="I297" s="9"/>
      <c r="J297" s="9"/>
      <c r="K297" s="9"/>
      <c r="L297" s="362"/>
      <c r="M297" s="361"/>
      <c r="N297" s="300"/>
      <c r="O297" s="297"/>
      <c r="P297" s="361"/>
      <c r="Q297" s="300"/>
      <c r="R297" s="300"/>
      <c r="S297" s="300"/>
      <c r="T297" s="300"/>
      <c r="U297" s="300"/>
      <c r="V297" s="300"/>
      <c r="W297" s="327"/>
      <c r="X297" s="298"/>
      <c r="Y297" s="10"/>
      <c r="Z297" s="10"/>
      <c r="AA297" s="10"/>
      <c r="AB297" s="10"/>
      <c r="AC297" s="10"/>
      <c r="AD297" s="10"/>
      <c r="AE297" s="1"/>
      <c r="AF297" s="2"/>
      <c r="AG297" s="1"/>
      <c r="AH297" s="3"/>
      <c r="AL297" s="4"/>
    </row>
    <row r="298" customFormat="1" spans="1:38">
      <c r="A298" s="5"/>
      <c r="B298" s="5"/>
      <c r="C298" s="9"/>
      <c r="D298" s="9"/>
      <c r="E298" s="9"/>
      <c r="F298" s="9"/>
      <c r="G298" s="9"/>
      <c r="H298" s="10"/>
      <c r="I298" s="9"/>
      <c r="J298" s="9"/>
      <c r="K298" s="9"/>
      <c r="L298" s="360"/>
      <c r="M298" s="365"/>
      <c r="N298" s="300"/>
      <c r="O298" s="297"/>
      <c r="P298" s="365"/>
      <c r="Q298" s="366"/>
      <c r="R298" s="366"/>
      <c r="S298" s="366"/>
      <c r="T298" s="366"/>
      <c r="U298" s="366"/>
      <c r="V298" s="366"/>
      <c r="W298" s="327"/>
      <c r="X298" s="298"/>
      <c r="Y298" s="10"/>
      <c r="Z298" s="10"/>
      <c r="AA298" s="10"/>
      <c r="AB298" s="10"/>
      <c r="AC298" s="10"/>
      <c r="AD298" s="10"/>
      <c r="AE298" s="1"/>
      <c r="AF298" s="2"/>
      <c r="AG298" s="1"/>
      <c r="AH298" s="3"/>
      <c r="AL298" s="4"/>
    </row>
    <row r="299" customFormat="1" ht="18.75" spans="1:38">
      <c r="A299" s="5"/>
      <c r="B299" s="5"/>
      <c r="C299" s="9"/>
      <c r="D299" s="9"/>
      <c r="E299" s="9"/>
      <c r="F299" s="9"/>
      <c r="G299" s="9"/>
      <c r="H299" s="10"/>
      <c r="I299" s="9"/>
      <c r="J299" s="9"/>
      <c r="K299" s="9"/>
      <c r="L299" s="360"/>
      <c r="M299" s="365"/>
      <c r="N299" s="300"/>
      <c r="O299" s="297"/>
      <c r="P299" s="365"/>
      <c r="Q299" s="366"/>
      <c r="R299" s="366"/>
      <c r="S299" s="366"/>
      <c r="T299" s="366"/>
      <c r="U299" s="366"/>
      <c r="V299" s="366"/>
      <c r="W299" s="327"/>
      <c r="X299" s="298"/>
      <c r="Y299" s="10"/>
      <c r="Z299" s="10"/>
      <c r="AA299" s="10"/>
      <c r="AB299" s="10"/>
      <c r="AC299" s="10"/>
      <c r="AD299" s="10"/>
      <c r="AE299" s="1"/>
      <c r="AF299" s="2"/>
      <c r="AG299" s="1"/>
      <c r="AH299" s="3"/>
      <c r="AL299" s="4"/>
    </row>
    <row r="300" customFormat="1" spans="1:38">
      <c r="A300" s="5"/>
      <c r="B300" s="5"/>
      <c r="C300" s="9"/>
      <c r="D300" s="9"/>
      <c r="E300" s="9"/>
      <c r="F300" s="9"/>
      <c r="G300" s="378" t="s">
        <v>145</v>
      </c>
      <c r="H300" s="379"/>
      <c r="I300" s="380"/>
      <c r="J300" s="381"/>
      <c r="K300" s="9"/>
      <c r="L300" s="303"/>
      <c r="M300" s="347"/>
      <c r="N300" s="305"/>
      <c r="O300" s="305"/>
      <c r="P300" s="347"/>
      <c r="Q300" s="305"/>
      <c r="R300" s="305"/>
      <c r="S300" s="305"/>
      <c r="T300" s="305"/>
      <c r="U300" s="305"/>
      <c r="V300" s="305"/>
      <c r="W300" s="304"/>
      <c r="X300" s="306"/>
      <c r="Y300" s="10"/>
      <c r="Z300" s="10"/>
      <c r="AA300" s="10"/>
      <c r="AB300" s="10"/>
      <c r="AC300" s="10"/>
      <c r="AD300" s="10"/>
      <c r="AE300" s="1"/>
      <c r="AF300" s="2"/>
      <c r="AG300" s="1"/>
      <c r="AH300" s="3"/>
      <c r="AL300" s="4"/>
    </row>
    <row r="301" customFormat="1" spans="1:38">
      <c r="A301" s="5"/>
      <c r="B301" s="5"/>
      <c r="C301" s="9"/>
      <c r="D301" s="9"/>
      <c r="E301" s="9"/>
      <c r="F301" s="9"/>
      <c r="G301" s="382" t="s">
        <v>146</v>
      </c>
      <c r="H301" s="8">
        <f t="shared" ref="H301:H312" si="9">IF($G$270=2,$J301,$I301)</f>
        <v>1</v>
      </c>
      <c r="I301" s="383">
        <v>1</v>
      </c>
      <c r="J301" s="384">
        <v>25.4</v>
      </c>
      <c r="K301" s="9"/>
      <c r="L301" s="266"/>
      <c r="M301" s="325"/>
      <c r="N301" s="297"/>
      <c r="O301" s="297"/>
      <c r="P301" s="325"/>
      <c r="Q301" s="297"/>
      <c r="R301" s="297"/>
      <c r="S301" s="297"/>
      <c r="T301" s="297"/>
      <c r="U301" s="297"/>
      <c r="V301" s="297"/>
      <c r="W301" s="10"/>
      <c r="X301" s="298"/>
      <c r="Y301" s="10"/>
      <c r="Z301" s="10"/>
      <c r="AA301" s="10"/>
      <c r="AB301" s="10"/>
      <c r="AC301" s="10"/>
      <c r="AD301" s="10"/>
      <c r="AE301" s="1"/>
      <c r="AF301" s="2"/>
      <c r="AG301" s="1"/>
      <c r="AH301" s="3"/>
      <c r="AL301" s="4"/>
    </row>
    <row r="302" customFormat="1" spans="1:38">
      <c r="A302" s="5"/>
      <c r="B302" s="5"/>
      <c r="C302" s="9"/>
      <c r="D302" s="9"/>
      <c r="E302" s="9"/>
      <c r="F302" s="9"/>
      <c r="G302" s="382" t="s">
        <v>147</v>
      </c>
      <c r="H302" s="8">
        <f t="shared" si="9"/>
        <v>1</v>
      </c>
      <c r="I302" s="383">
        <v>1</v>
      </c>
      <c r="J302" s="384">
        <v>4.44822</v>
      </c>
      <c r="K302" s="9"/>
      <c r="L302" s="266"/>
      <c r="M302" s="325"/>
      <c r="N302" s="297"/>
      <c r="O302" s="297"/>
      <c r="P302" s="325"/>
      <c r="Q302" s="297"/>
      <c r="R302" s="297"/>
      <c r="S302" s="297"/>
      <c r="T302" s="297"/>
      <c r="U302" s="297"/>
      <c r="V302" s="297"/>
      <c r="W302" s="10"/>
      <c r="X302" s="298"/>
      <c r="Y302" s="10"/>
      <c r="Z302" s="10"/>
      <c r="AA302" s="10"/>
      <c r="AB302" s="10"/>
      <c r="AC302" s="10"/>
      <c r="AD302" s="10"/>
      <c r="AE302" s="1"/>
      <c r="AF302" s="2"/>
      <c r="AG302" s="1"/>
      <c r="AH302" s="3"/>
      <c r="AL302" s="4"/>
    </row>
    <row r="303" customFormat="1" ht="18.75" spans="1:38">
      <c r="A303" s="5"/>
      <c r="B303" s="5"/>
      <c r="C303" s="9"/>
      <c r="D303" s="9"/>
      <c r="E303" s="9"/>
      <c r="F303" s="9"/>
      <c r="G303" s="382"/>
      <c r="H303" s="8" t="str">
        <f t="shared" si="9"/>
        <v> mm</v>
      </c>
      <c r="I303" s="383" t="s">
        <v>148</v>
      </c>
      <c r="J303" s="384" t="s">
        <v>149</v>
      </c>
      <c r="K303" s="9"/>
      <c r="L303" s="282"/>
      <c r="M303" s="352"/>
      <c r="N303" s="320"/>
      <c r="O303" s="320"/>
      <c r="P303" s="352"/>
      <c r="Q303" s="320"/>
      <c r="R303" s="320"/>
      <c r="S303" s="320"/>
      <c r="T303" s="320"/>
      <c r="U303" s="320"/>
      <c r="V303" s="320"/>
      <c r="W303" s="314"/>
      <c r="X303" s="321"/>
      <c r="Y303" s="10"/>
      <c r="Z303" s="10"/>
      <c r="AA303" s="10"/>
      <c r="AB303" s="10"/>
      <c r="AC303" s="10"/>
      <c r="AD303" s="10"/>
      <c r="AE303" s="1"/>
      <c r="AF303" s="2"/>
      <c r="AG303" s="1"/>
      <c r="AH303" s="3"/>
      <c r="AL303" s="4"/>
    </row>
    <row r="304" customFormat="1" ht="18.75" spans="1:38">
      <c r="A304" s="5"/>
      <c r="B304" s="5"/>
      <c r="C304" s="249"/>
      <c r="D304" s="249"/>
      <c r="E304" s="249"/>
      <c r="F304" s="249"/>
      <c r="G304" s="382"/>
      <c r="H304" s="8" t="str">
        <f t="shared" si="9"/>
        <v> N</v>
      </c>
      <c r="I304" s="383" t="s">
        <v>150</v>
      </c>
      <c r="J304" s="384" t="s">
        <v>151</v>
      </c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10"/>
      <c r="X304" s="9"/>
      <c r="Y304" s="10"/>
      <c r="Z304" s="10"/>
      <c r="AA304" s="10"/>
      <c r="AB304" s="10"/>
      <c r="AC304" s="10"/>
      <c r="AD304" s="10"/>
      <c r="AE304" s="1"/>
      <c r="AF304" s="2"/>
      <c r="AG304" s="1"/>
      <c r="AH304" s="3"/>
      <c r="AL304" s="4"/>
    </row>
    <row r="305" customFormat="1" spans="1:38">
      <c r="A305" s="5"/>
      <c r="B305" s="5"/>
      <c r="C305" s="249"/>
      <c r="D305" s="249"/>
      <c r="E305" s="249"/>
      <c r="F305" s="249"/>
      <c r="G305" s="382"/>
      <c r="H305" s="8" t="str">
        <f t="shared" si="9"/>
        <v>MPa</v>
      </c>
      <c r="I305" s="383" t="s">
        <v>50</v>
      </c>
      <c r="J305" s="384" t="s">
        <v>152</v>
      </c>
      <c r="K305" s="9"/>
      <c r="L305" s="287"/>
      <c r="M305" s="317"/>
      <c r="N305" s="317"/>
      <c r="O305" s="317"/>
      <c r="P305" s="317"/>
      <c r="Q305" s="317"/>
      <c r="R305" s="317"/>
      <c r="S305" s="317"/>
      <c r="T305" s="317"/>
      <c r="U305" s="317"/>
      <c r="V305" s="317"/>
      <c r="W305" s="318"/>
      <c r="X305" s="357"/>
      <c r="Y305" s="10"/>
      <c r="Z305" s="10"/>
      <c r="AA305" s="10"/>
      <c r="AB305" s="10"/>
      <c r="AC305" s="10"/>
      <c r="AD305" s="10"/>
      <c r="AE305" s="1"/>
      <c r="AF305" s="2"/>
      <c r="AG305" s="1"/>
      <c r="AH305" s="3"/>
      <c r="AL305" s="4"/>
    </row>
    <row r="306" customFormat="1" spans="1:38">
      <c r="A306" s="5"/>
      <c r="B306" s="5"/>
      <c r="C306" s="249"/>
      <c r="D306" s="249"/>
      <c r="E306" s="249"/>
      <c r="F306" s="249"/>
      <c r="G306" s="382" t="s">
        <v>153</v>
      </c>
      <c r="H306" s="8">
        <f t="shared" si="9"/>
        <v>1</v>
      </c>
      <c r="I306" s="383">
        <v>1</v>
      </c>
      <c r="J306" s="384">
        <f>145.03/1000</f>
        <v>0.14503</v>
      </c>
      <c r="K306" s="9"/>
      <c r="L306" s="322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4"/>
      <c r="X306" s="306"/>
      <c r="Y306" s="10"/>
      <c r="Z306" s="10"/>
      <c r="AA306" s="10"/>
      <c r="AB306" s="10"/>
      <c r="AC306" s="10"/>
      <c r="AD306" s="10"/>
      <c r="AE306" s="1"/>
      <c r="AF306" s="2"/>
      <c r="AG306" s="1"/>
      <c r="AH306" s="3"/>
      <c r="AL306" s="4"/>
    </row>
    <row r="307" customFormat="1" spans="1:38">
      <c r="A307" s="5"/>
      <c r="B307" s="5"/>
      <c r="C307" s="249"/>
      <c r="D307" s="249"/>
      <c r="E307" s="249"/>
      <c r="F307" s="249"/>
      <c r="G307" s="382"/>
      <c r="H307" s="8" t="str">
        <f t="shared" si="9"/>
        <v>N/mm</v>
      </c>
      <c r="I307" s="383" t="s">
        <v>154</v>
      </c>
      <c r="J307" s="384" t="s">
        <v>155</v>
      </c>
      <c r="K307" s="9"/>
      <c r="L307" s="360"/>
      <c r="M307" s="361"/>
      <c r="N307" s="300"/>
      <c r="O307" s="297"/>
      <c r="P307" s="361"/>
      <c r="Q307" s="300"/>
      <c r="R307" s="300"/>
      <c r="S307" s="300"/>
      <c r="T307" s="300"/>
      <c r="U307" s="300"/>
      <c r="V307" s="300"/>
      <c r="W307" s="327"/>
      <c r="X307" s="298"/>
      <c r="Y307" s="10"/>
      <c r="Z307" s="10"/>
      <c r="AA307" s="10"/>
      <c r="AB307" s="10"/>
      <c r="AC307" s="10"/>
      <c r="AD307" s="10"/>
      <c r="AE307" s="1"/>
      <c r="AF307" s="2"/>
      <c r="AG307" s="1"/>
      <c r="AH307" s="3"/>
      <c r="AL307" s="4"/>
    </row>
    <row r="308" customFormat="1" spans="1:38">
      <c r="A308" s="5"/>
      <c r="B308" s="5"/>
      <c r="C308" s="249"/>
      <c r="D308" s="249"/>
      <c r="E308" s="249"/>
      <c r="F308" s="249"/>
      <c r="G308" s="382" t="s">
        <v>156</v>
      </c>
      <c r="H308" s="8">
        <f t="shared" si="9"/>
        <v>1</v>
      </c>
      <c r="I308" s="383">
        <v>1</v>
      </c>
      <c r="J308" s="384">
        <f>$J$301/$J$302</f>
        <v>5.71014922823062</v>
      </c>
      <c r="K308" s="9"/>
      <c r="L308" s="360"/>
      <c r="M308" s="361"/>
      <c r="N308" s="300"/>
      <c r="O308" s="297"/>
      <c r="P308" s="361"/>
      <c r="Q308" s="300"/>
      <c r="R308" s="300"/>
      <c r="S308" s="300"/>
      <c r="T308" s="300"/>
      <c r="U308" s="300"/>
      <c r="V308" s="300"/>
      <c r="W308" s="327"/>
      <c r="X308" s="298"/>
      <c r="Y308" s="10"/>
      <c r="Z308" s="10"/>
      <c r="AA308" s="10"/>
      <c r="AB308" s="10"/>
      <c r="AC308" s="10"/>
      <c r="AD308" s="10"/>
      <c r="AE308" s="1"/>
      <c r="AF308" s="2"/>
      <c r="AG308" s="1"/>
      <c r="AH308" s="3"/>
      <c r="AL308" s="4"/>
    </row>
    <row r="309" customFormat="1" spans="1:38">
      <c r="A309" s="5"/>
      <c r="B309" s="5"/>
      <c r="C309" s="249"/>
      <c r="D309" s="249"/>
      <c r="E309" s="249"/>
      <c r="F309" s="249"/>
      <c r="G309" s="382"/>
      <c r="H309" s="8" t="str">
        <f t="shared" si="9"/>
        <v>MPa</v>
      </c>
      <c r="I309" s="383" t="s">
        <v>50</v>
      </c>
      <c r="J309" s="384" t="s">
        <v>157</v>
      </c>
      <c r="K309" s="9"/>
      <c r="L309" s="362"/>
      <c r="M309" s="361"/>
      <c r="N309" s="300"/>
      <c r="O309" s="297"/>
      <c r="P309" s="361"/>
      <c r="Q309" s="300"/>
      <c r="R309" s="300"/>
      <c r="S309" s="300"/>
      <c r="T309" s="300"/>
      <c r="U309" s="300"/>
      <c r="V309" s="300"/>
      <c r="W309" s="327"/>
      <c r="X309" s="298"/>
      <c r="Y309" s="10"/>
      <c r="Z309" s="10"/>
      <c r="AA309" s="10"/>
      <c r="AB309" s="10"/>
      <c r="AC309" s="10"/>
      <c r="AD309" s="10"/>
      <c r="AE309" s="1"/>
      <c r="AF309" s="2"/>
      <c r="AG309" s="1"/>
      <c r="AH309" s="3"/>
      <c r="AL309" s="4"/>
    </row>
    <row r="310" customFormat="1" spans="1:38">
      <c r="A310" s="5"/>
      <c r="B310" s="5"/>
      <c r="C310" s="249"/>
      <c r="D310" s="249"/>
      <c r="E310" s="249"/>
      <c r="F310" s="249"/>
      <c r="G310" s="382" t="s">
        <v>158</v>
      </c>
      <c r="H310" s="8">
        <f t="shared" si="9"/>
        <v>1</v>
      </c>
      <c r="I310" s="383">
        <v>1</v>
      </c>
      <c r="J310" s="384">
        <f>145.03/1000000</f>
        <v>0.00014503</v>
      </c>
      <c r="K310" s="9"/>
      <c r="L310" s="362"/>
      <c r="M310" s="361"/>
      <c r="N310" s="300"/>
      <c r="O310" s="297"/>
      <c r="P310" s="361"/>
      <c r="Q310" s="300"/>
      <c r="R310" s="300"/>
      <c r="S310" s="300"/>
      <c r="T310" s="300"/>
      <c r="U310" s="300"/>
      <c r="V310" s="300"/>
      <c r="W310" s="327"/>
      <c r="X310" s="298"/>
      <c r="Y310" s="10"/>
      <c r="Z310" s="10"/>
      <c r="AA310" s="10"/>
      <c r="AB310" s="10"/>
      <c r="AC310" s="10"/>
      <c r="AD310" s="10"/>
      <c r="AE310" s="1"/>
      <c r="AF310" s="2"/>
      <c r="AG310" s="1"/>
      <c r="AH310" s="3"/>
      <c r="AL310" s="4"/>
    </row>
    <row r="311" customFormat="1" spans="1:38">
      <c r="A311" s="5"/>
      <c r="B311" s="5"/>
      <c r="C311" s="249"/>
      <c r="D311" s="249"/>
      <c r="E311" s="249"/>
      <c r="F311" s="249"/>
      <c r="G311" s="382"/>
      <c r="H311" s="8">
        <f t="shared" si="9"/>
        <v>25</v>
      </c>
      <c r="I311" s="383">
        <f>$G$24</f>
        <v>25</v>
      </c>
      <c r="J311" s="384">
        <f>($G$24-32)*5/9</f>
        <v>-3.88888888888889</v>
      </c>
      <c r="K311" s="9"/>
      <c r="L311" s="360"/>
      <c r="M311" s="365"/>
      <c r="N311" s="300"/>
      <c r="O311" s="297"/>
      <c r="P311" s="365"/>
      <c r="Q311" s="366"/>
      <c r="R311" s="366"/>
      <c r="S311" s="366"/>
      <c r="T311" s="366"/>
      <c r="U311" s="366"/>
      <c r="V311" s="366"/>
      <c r="W311" s="327"/>
      <c r="X311" s="298"/>
      <c r="Y311" s="10"/>
      <c r="Z311" s="10"/>
      <c r="AA311" s="10"/>
      <c r="AB311" s="10"/>
      <c r="AC311" s="10"/>
      <c r="AD311" s="10"/>
      <c r="AE311" s="1"/>
      <c r="AF311" s="2"/>
      <c r="AG311" s="1"/>
      <c r="AH311" s="3"/>
      <c r="AL311" s="4"/>
    </row>
    <row r="312" customFormat="1" spans="1:38">
      <c r="A312" s="5"/>
      <c r="B312" s="5"/>
      <c r="C312" s="249"/>
      <c r="D312" s="249"/>
      <c r="E312" s="249"/>
      <c r="F312" s="249"/>
      <c r="G312" s="382"/>
      <c r="H312" s="8" t="str">
        <f t="shared" si="9"/>
        <v>°C</v>
      </c>
      <c r="I312" s="383" t="s">
        <v>159</v>
      </c>
      <c r="J312" s="384" t="s">
        <v>160</v>
      </c>
      <c r="K312" s="9"/>
      <c r="L312" s="360"/>
      <c r="M312" s="365"/>
      <c r="N312" s="300"/>
      <c r="O312" s="297"/>
      <c r="P312" s="365"/>
      <c r="Q312" s="366"/>
      <c r="R312" s="366"/>
      <c r="S312" s="366"/>
      <c r="T312" s="366"/>
      <c r="U312" s="366"/>
      <c r="V312" s="366"/>
      <c r="W312" s="327"/>
      <c r="X312" s="298"/>
      <c r="Y312" s="10"/>
      <c r="Z312" s="10"/>
      <c r="AA312" s="10"/>
      <c r="AB312" s="10"/>
      <c r="AC312" s="10"/>
      <c r="AD312" s="10"/>
      <c r="AE312" s="1"/>
      <c r="AF312" s="2"/>
      <c r="AG312" s="1"/>
      <c r="AH312" s="3"/>
      <c r="AL312" s="4"/>
    </row>
    <row r="313" customFormat="1" spans="1:38">
      <c r="A313" s="5"/>
      <c r="B313" s="5"/>
      <c r="C313" s="249"/>
      <c r="D313" s="249"/>
      <c r="E313" s="249"/>
      <c r="F313" s="249"/>
      <c r="G313" s="382"/>
      <c r="H313" s="8"/>
      <c r="I313" s="383"/>
      <c r="J313" s="384"/>
      <c r="K313" s="9"/>
      <c r="L313" s="303"/>
      <c r="M313" s="347"/>
      <c r="N313" s="305"/>
      <c r="O313" s="305"/>
      <c r="P313" s="347"/>
      <c r="Q313" s="305"/>
      <c r="R313" s="305"/>
      <c r="S313" s="305"/>
      <c r="T313" s="305"/>
      <c r="U313" s="305"/>
      <c r="V313" s="305"/>
      <c r="W313" s="304"/>
      <c r="X313" s="306"/>
      <c r="Y313" s="10"/>
      <c r="Z313" s="10"/>
      <c r="AA313" s="10"/>
      <c r="AB313" s="10"/>
      <c r="AC313" s="10"/>
      <c r="AD313" s="10"/>
      <c r="AE313" s="1"/>
      <c r="AF313" s="2"/>
      <c r="AG313" s="1"/>
      <c r="AH313" s="3"/>
      <c r="AL313" s="4"/>
    </row>
    <row r="314" customFormat="1" spans="1:38">
      <c r="A314" s="5"/>
      <c r="B314" s="5"/>
      <c r="C314" s="249"/>
      <c r="D314" s="249"/>
      <c r="E314" s="249"/>
      <c r="F314" s="249"/>
      <c r="G314" s="382"/>
      <c r="H314" s="8"/>
      <c r="I314" s="383"/>
      <c r="J314" s="384"/>
      <c r="K314" s="9"/>
      <c r="L314" s="266"/>
      <c r="M314" s="325"/>
      <c r="N314" s="297"/>
      <c r="O314" s="297"/>
      <c r="P314" s="325"/>
      <c r="Q314" s="297"/>
      <c r="R314" s="297"/>
      <c r="S314" s="297"/>
      <c r="T314" s="297"/>
      <c r="U314" s="297"/>
      <c r="V314" s="297"/>
      <c r="W314" s="10"/>
      <c r="X314" s="298"/>
      <c r="Y314" s="10"/>
      <c r="Z314" s="10"/>
      <c r="AA314" s="10"/>
      <c r="AB314" s="10"/>
      <c r="AC314" s="10"/>
      <c r="AD314" s="10"/>
      <c r="AE314" s="1"/>
      <c r="AF314" s="2"/>
      <c r="AG314" s="1"/>
      <c r="AH314" s="3"/>
      <c r="AL314" s="4"/>
    </row>
    <row r="315" customFormat="1" spans="1:38">
      <c r="A315" s="5"/>
      <c r="B315" s="5"/>
      <c r="C315" s="249"/>
      <c r="D315" s="249"/>
      <c r="E315" s="249"/>
      <c r="F315" s="249"/>
      <c r="G315" s="382"/>
      <c r="H315" s="8"/>
      <c r="I315" s="383"/>
      <c r="J315" s="384"/>
      <c r="K315" s="9"/>
      <c r="L315" s="266"/>
      <c r="M315" s="325"/>
      <c r="N315" s="297"/>
      <c r="O315" s="297"/>
      <c r="P315" s="325"/>
      <c r="Q315" s="297"/>
      <c r="R315" s="297"/>
      <c r="S315" s="297"/>
      <c r="T315" s="297"/>
      <c r="U315" s="297"/>
      <c r="V315" s="297"/>
      <c r="W315" s="10"/>
      <c r="X315" s="298"/>
      <c r="Y315" s="10"/>
      <c r="Z315" s="10"/>
      <c r="AA315" s="10"/>
      <c r="AB315" s="10"/>
      <c r="AC315" s="10"/>
      <c r="AD315" s="10"/>
      <c r="AE315" s="1"/>
      <c r="AF315" s="2"/>
      <c r="AG315" s="1"/>
      <c r="AH315" s="3"/>
      <c r="AL315" s="4"/>
    </row>
    <row r="316" customFormat="1" ht="18.75" spans="1:38">
      <c r="A316" s="5"/>
      <c r="B316" s="5"/>
      <c r="C316" s="249"/>
      <c r="D316" s="249"/>
      <c r="E316" s="249"/>
      <c r="F316" s="249"/>
      <c r="G316" s="382"/>
      <c r="H316" s="8"/>
      <c r="I316" s="383"/>
      <c r="J316" s="384"/>
      <c r="K316" s="9"/>
      <c r="L316" s="282"/>
      <c r="M316" s="352"/>
      <c r="N316" s="320"/>
      <c r="O316" s="320"/>
      <c r="P316" s="352"/>
      <c r="Q316" s="320"/>
      <c r="R316" s="320"/>
      <c r="S316" s="320"/>
      <c r="T316" s="320"/>
      <c r="U316" s="320"/>
      <c r="V316" s="320"/>
      <c r="W316" s="314"/>
      <c r="X316" s="321"/>
      <c r="Y316" s="10"/>
      <c r="Z316" s="10"/>
      <c r="AA316" s="10"/>
      <c r="AB316" s="10"/>
      <c r="AC316" s="10"/>
      <c r="AD316" s="10"/>
      <c r="AE316" s="1"/>
      <c r="AF316" s="2"/>
      <c r="AG316" s="1"/>
      <c r="AH316" s="3"/>
      <c r="AL316" s="4"/>
    </row>
    <row r="317" customFormat="1" ht="18.75" spans="1:38">
      <c r="A317" s="5"/>
      <c r="B317" s="5"/>
      <c r="C317" s="249"/>
      <c r="D317" s="249"/>
      <c r="E317" s="249"/>
      <c r="F317" s="249"/>
      <c r="G317" s="385"/>
      <c r="H317" s="386"/>
      <c r="I317" s="387"/>
      <c r="J317" s="388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10"/>
      <c r="X317" s="9"/>
      <c r="Y317" s="10"/>
      <c r="Z317" s="10"/>
      <c r="AA317" s="10"/>
      <c r="AB317" s="10"/>
      <c r="AC317" s="10"/>
      <c r="AD317" s="10"/>
      <c r="AE317" s="1"/>
      <c r="AF317" s="2"/>
      <c r="AG317" s="1"/>
      <c r="AH317" s="3"/>
      <c r="AL317" s="4"/>
    </row>
    <row r="318" customFormat="1" spans="1:38">
      <c r="A318" s="5"/>
      <c r="B318" s="5"/>
      <c r="C318" s="249"/>
      <c r="D318" s="249"/>
      <c r="E318" s="249"/>
      <c r="F318" s="249"/>
      <c r="G318" s="349"/>
      <c r="H318" s="44"/>
      <c r="I318" s="349"/>
      <c r="J318" s="349"/>
      <c r="K318" s="249"/>
      <c r="L318" s="287"/>
      <c r="M318" s="317"/>
      <c r="N318" s="317"/>
      <c r="O318" s="317"/>
      <c r="P318" s="317"/>
      <c r="Q318" s="317"/>
      <c r="R318" s="317"/>
      <c r="S318" s="317"/>
      <c r="T318" s="317"/>
      <c r="U318" s="317"/>
      <c r="V318" s="317"/>
      <c r="W318" s="318"/>
      <c r="X318" s="357"/>
      <c r="Y318" s="8"/>
      <c r="Z318" s="8"/>
      <c r="AA318" s="8"/>
      <c r="AB318" s="8"/>
      <c r="AC318" s="8"/>
      <c r="AD318" s="10"/>
      <c r="AE318" s="1"/>
      <c r="AF318" s="2"/>
      <c r="AG318" s="1"/>
      <c r="AH318" s="3"/>
      <c r="AL318" s="4"/>
    </row>
    <row r="319" customFormat="1" spans="1:38">
      <c r="A319" s="5"/>
      <c r="B319" s="5"/>
      <c r="C319" s="249"/>
      <c r="D319" s="249"/>
      <c r="E319" s="249"/>
      <c r="F319" s="249"/>
      <c r="G319" s="349"/>
      <c r="H319" s="44"/>
      <c r="I319" s="349"/>
      <c r="J319" s="349"/>
      <c r="K319" s="249"/>
      <c r="L319" s="322"/>
      <c r="M319" s="305"/>
      <c r="N319" s="305"/>
      <c r="O319" s="305"/>
      <c r="P319" s="305"/>
      <c r="Q319" s="305"/>
      <c r="R319" s="305"/>
      <c r="S319" s="305"/>
      <c r="T319" s="305"/>
      <c r="U319" s="305"/>
      <c r="V319" s="305"/>
      <c r="W319" s="304"/>
      <c r="X319" s="306"/>
      <c r="Y319" s="8"/>
      <c r="Z319" s="8"/>
      <c r="AA319" s="8"/>
      <c r="AB319" s="8"/>
      <c r="AC319" s="8"/>
      <c r="AD319" s="10"/>
      <c r="AE319" s="1"/>
      <c r="AF319" s="2"/>
      <c r="AG319" s="1"/>
      <c r="AH319" s="3"/>
      <c r="AL319" s="4"/>
    </row>
    <row r="320" customFormat="1" spans="1:38">
      <c r="A320" s="5"/>
      <c r="B320" s="5"/>
      <c r="C320" s="249"/>
      <c r="D320" s="249"/>
      <c r="E320" s="249"/>
      <c r="F320" s="249"/>
      <c r="G320" s="249"/>
      <c r="H320" s="8"/>
      <c r="I320" s="249"/>
      <c r="J320" s="249"/>
      <c r="K320" s="249"/>
      <c r="L320" s="360"/>
      <c r="M320" s="361"/>
      <c r="N320" s="300"/>
      <c r="O320" s="297"/>
      <c r="P320" s="361"/>
      <c r="Q320" s="300"/>
      <c r="R320" s="300"/>
      <c r="S320" s="300"/>
      <c r="T320" s="300"/>
      <c r="U320" s="300"/>
      <c r="V320" s="300"/>
      <c r="W320" s="327"/>
      <c r="X320" s="298"/>
      <c r="Y320" s="8"/>
      <c r="Z320" s="8"/>
      <c r="AA320" s="8"/>
      <c r="AB320" s="8"/>
      <c r="AC320" s="8"/>
      <c r="AD320" s="10"/>
      <c r="AE320" s="1"/>
      <c r="AF320" s="2"/>
      <c r="AG320" s="1"/>
      <c r="AH320" s="3"/>
      <c r="AL320" s="4"/>
    </row>
    <row r="321" customFormat="1" spans="1:38">
      <c r="A321" s="5"/>
      <c r="B321" s="5"/>
      <c r="C321" s="249"/>
      <c r="D321" s="249"/>
      <c r="E321" s="249"/>
      <c r="F321" s="249"/>
      <c r="G321" s="249"/>
      <c r="H321" s="8"/>
      <c r="I321" s="249"/>
      <c r="J321" s="249"/>
      <c r="K321" s="249"/>
      <c r="L321" s="360"/>
      <c r="M321" s="361"/>
      <c r="N321" s="300"/>
      <c r="O321" s="297"/>
      <c r="P321" s="361"/>
      <c r="Q321" s="300"/>
      <c r="R321" s="300"/>
      <c r="S321" s="300"/>
      <c r="T321" s="300"/>
      <c r="U321" s="300"/>
      <c r="V321" s="300"/>
      <c r="W321" s="327"/>
      <c r="X321" s="298"/>
      <c r="Y321" s="8"/>
      <c r="Z321" s="8"/>
      <c r="AA321" s="8"/>
      <c r="AB321" s="8"/>
      <c r="AC321" s="8"/>
      <c r="AD321" s="10"/>
      <c r="AE321" s="1"/>
      <c r="AF321" s="2"/>
      <c r="AG321" s="1"/>
      <c r="AH321" s="3"/>
      <c r="AL321" s="4"/>
    </row>
    <row r="322" customFormat="1" spans="1:38">
      <c r="A322" s="5"/>
      <c r="B322" s="5"/>
      <c r="C322" s="249"/>
      <c r="D322" s="249"/>
      <c r="E322" s="249"/>
      <c r="F322" s="249"/>
      <c r="G322" s="249"/>
      <c r="H322" s="8"/>
      <c r="I322" s="249"/>
      <c r="J322" s="249"/>
      <c r="K322" s="249"/>
      <c r="L322" s="362"/>
      <c r="M322" s="361"/>
      <c r="N322" s="300"/>
      <c r="O322" s="297"/>
      <c r="P322" s="361"/>
      <c r="Q322" s="300"/>
      <c r="R322" s="300"/>
      <c r="S322" s="300"/>
      <c r="T322" s="300"/>
      <c r="U322" s="300"/>
      <c r="V322" s="300"/>
      <c r="W322" s="327"/>
      <c r="X322" s="298"/>
      <c r="Y322" s="8"/>
      <c r="Z322" s="8"/>
      <c r="AA322" s="8"/>
      <c r="AB322" s="8"/>
      <c r="AC322" s="8"/>
      <c r="AD322" s="10"/>
      <c r="AE322" s="1"/>
      <c r="AF322" s="2"/>
      <c r="AG322" s="1"/>
      <c r="AH322" s="3"/>
      <c r="AL322" s="4"/>
    </row>
    <row r="323" customFormat="1" spans="1:38">
      <c r="A323" s="5"/>
      <c r="B323" s="5"/>
      <c r="C323" s="249"/>
      <c r="D323" s="249"/>
      <c r="E323" s="249"/>
      <c r="F323" s="249"/>
      <c r="G323" s="249"/>
      <c r="H323" s="8"/>
      <c r="I323" s="249"/>
      <c r="J323" s="249"/>
      <c r="K323" s="249"/>
      <c r="L323" s="362"/>
      <c r="M323" s="361"/>
      <c r="N323" s="300"/>
      <c r="O323" s="297"/>
      <c r="P323" s="361"/>
      <c r="Q323" s="300"/>
      <c r="R323" s="300"/>
      <c r="S323" s="300"/>
      <c r="T323" s="300"/>
      <c r="U323" s="300"/>
      <c r="V323" s="300"/>
      <c r="W323" s="327"/>
      <c r="X323" s="298"/>
      <c r="Y323" s="8"/>
      <c r="Z323" s="8"/>
      <c r="AA323" s="8"/>
      <c r="AB323" s="8"/>
      <c r="AC323" s="8"/>
      <c r="AD323" s="10"/>
      <c r="AE323" s="1"/>
      <c r="AF323" s="2"/>
      <c r="AG323" s="1"/>
      <c r="AH323" s="3"/>
      <c r="AL323" s="4"/>
    </row>
    <row r="324" customFormat="1" spans="1:38">
      <c r="A324" s="5"/>
      <c r="B324" s="5"/>
      <c r="C324" s="249"/>
      <c r="D324" s="249"/>
      <c r="E324" s="249"/>
      <c r="F324" s="249"/>
      <c r="G324" s="249"/>
      <c r="H324" s="8"/>
      <c r="I324" s="249"/>
      <c r="J324" s="249"/>
      <c r="K324" s="249"/>
      <c r="L324" s="360"/>
      <c r="M324" s="365"/>
      <c r="N324" s="300"/>
      <c r="O324" s="297"/>
      <c r="P324" s="365"/>
      <c r="Q324" s="366"/>
      <c r="R324" s="366"/>
      <c r="S324" s="366"/>
      <c r="T324" s="366"/>
      <c r="U324" s="366"/>
      <c r="V324" s="366"/>
      <c r="W324" s="327"/>
      <c r="X324" s="298"/>
      <c r="Y324" s="8"/>
      <c r="Z324" s="8"/>
      <c r="AA324" s="8"/>
      <c r="AB324" s="8"/>
      <c r="AC324" s="8"/>
      <c r="AD324" s="10"/>
      <c r="AE324" s="1"/>
      <c r="AF324" s="2"/>
      <c r="AG324" s="1"/>
      <c r="AH324" s="3"/>
      <c r="AL324" s="4"/>
    </row>
    <row r="325" customFormat="1" spans="1:38">
      <c r="A325" s="5"/>
      <c r="B325" s="5"/>
      <c r="C325" s="249"/>
      <c r="D325" s="249"/>
      <c r="E325" s="249"/>
      <c r="F325" s="249"/>
      <c r="G325" s="249"/>
      <c r="H325" s="8"/>
      <c r="I325" s="249"/>
      <c r="J325" s="249"/>
      <c r="K325" s="249"/>
      <c r="L325" s="360"/>
      <c r="M325" s="365"/>
      <c r="N325" s="300"/>
      <c r="O325" s="297"/>
      <c r="P325" s="365"/>
      <c r="Q325" s="366"/>
      <c r="R325" s="366"/>
      <c r="S325" s="366"/>
      <c r="T325" s="366"/>
      <c r="U325" s="366"/>
      <c r="V325" s="366"/>
      <c r="W325" s="327"/>
      <c r="X325" s="298"/>
      <c r="Y325" s="8"/>
      <c r="Z325" s="8"/>
      <c r="AA325" s="8"/>
      <c r="AB325" s="8"/>
      <c r="AC325" s="8"/>
      <c r="AD325" s="10"/>
      <c r="AE325" s="1"/>
      <c r="AF325" s="2"/>
      <c r="AG325" s="1"/>
      <c r="AH325" s="3"/>
      <c r="AL325" s="4"/>
    </row>
    <row r="326" customFormat="1" spans="1:38">
      <c r="A326" s="5"/>
      <c r="B326" s="5"/>
      <c r="C326" s="9"/>
      <c r="D326" s="9"/>
      <c r="E326" s="9"/>
      <c r="F326" s="9"/>
      <c r="G326" s="9"/>
      <c r="H326" s="10"/>
      <c r="I326" s="9"/>
      <c r="J326" s="9"/>
      <c r="K326" s="9"/>
      <c r="L326" s="303"/>
      <c r="M326" s="347"/>
      <c r="N326" s="305"/>
      <c r="O326" s="305"/>
      <c r="P326" s="347"/>
      <c r="Q326" s="305"/>
      <c r="R326" s="305"/>
      <c r="S326" s="305"/>
      <c r="T326" s="305"/>
      <c r="U326" s="305"/>
      <c r="V326" s="305"/>
      <c r="W326" s="304"/>
      <c r="X326" s="306"/>
      <c r="Y326" s="10"/>
      <c r="Z326" s="10"/>
      <c r="AA326" s="10"/>
      <c r="AB326" s="10"/>
      <c r="AC326" s="10"/>
      <c r="AD326" s="10"/>
      <c r="AE326" s="1"/>
      <c r="AF326" s="2"/>
      <c r="AG326" s="1"/>
      <c r="AH326" s="3"/>
      <c r="AL326" s="4"/>
    </row>
    <row r="327" customFormat="1" spans="1:38">
      <c r="A327" s="5"/>
      <c r="B327" s="5"/>
      <c r="C327" s="9"/>
      <c r="D327" s="9"/>
      <c r="E327" s="9"/>
      <c r="F327" s="9"/>
      <c r="G327" s="9"/>
      <c r="H327" s="10"/>
      <c r="I327" s="9"/>
      <c r="J327" s="9"/>
      <c r="K327" s="9"/>
      <c r="L327" s="266"/>
      <c r="M327" s="325"/>
      <c r="N327" s="297"/>
      <c r="O327" s="297"/>
      <c r="P327" s="325"/>
      <c r="Q327" s="297"/>
      <c r="R327" s="297"/>
      <c r="S327" s="297"/>
      <c r="T327" s="297"/>
      <c r="U327" s="297"/>
      <c r="V327" s="297"/>
      <c r="W327" s="10"/>
      <c r="X327" s="298"/>
      <c r="Y327" s="10"/>
      <c r="Z327" s="10"/>
      <c r="AA327" s="10"/>
      <c r="AB327" s="10"/>
      <c r="AC327" s="10"/>
      <c r="AD327" s="10"/>
      <c r="AE327" s="1"/>
      <c r="AF327" s="2"/>
      <c r="AG327" s="1"/>
      <c r="AH327" s="3"/>
      <c r="AL327" s="4"/>
    </row>
    <row r="328" customFormat="1" spans="1:38">
      <c r="A328" s="5"/>
      <c r="B328" s="5"/>
      <c r="C328" s="9"/>
      <c r="D328" s="9"/>
      <c r="E328" s="9"/>
      <c r="F328" s="9"/>
      <c r="G328" s="9"/>
      <c r="H328" s="10"/>
      <c r="I328" s="9"/>
      <c r="J328" s="9"/>
      <c r="K328" s="9"/>
      <c r="L328" s="266"/>
      <c r="M328" s="325"/>
      <c r="N328" s="297"/>
      <c r="O328" s="297"/>
      <c r="P328" s="325"/>
      <c r="Q328" s="297"/>
      <c r="R328" s="297"/>
      <c r="S328" s="297"/>
      <c r="T328" s="297"/>
      <c r="U328" s="297"/>
      <c r="V328" s="297"/>
      <c r="W328" s="10"/>
      <c r="X328" s="298"/>
      <c r="Y328" s="10"/>
      <c r="Z328" s="10"/>
      <c r="AA328" s="10"/>
      <c r="AB328" s="10"/>
      <c r="AC328" s="10"/>
      <c r="AD328" s="10"/>
      <c r="AE328" s="1"/>
      <c r="AF328" s="2"/>
      <c r="AG328" s="1"/>
      <c r="AH328" s="3"/>
      <c r="AL328" s="4"/>
    </row>
    <row r="329" customFormat="1" ht="18.75" spans="1:38">
      <c r="A329" s="5"/>
      <c r="B329" s="5"/>
      <c r="C329" s="9"/>
      <c r="D329" s="9"/>
      <c r="E329" s="9"/>
      <c r="F329" s="9"/>
      <c r="G329" s="9"/>
      <c r="H329" s="10"/>
      <c r="I329" s="9"/>
      <c r="J329" s="9"/>
      <c r="K329" s="9"/>
      <c r="L329" s="282"/>
      <c r="M329" s="352"/>
      <c r="N329" s="320"/>
      <c r="O329" s="320"/>
      <c r="P329" s="352"/>
      <c r="Q329" s="320"/>
      <c r="R329" s="320"/>
      <c r="S329" s="320"/>
      <c r="T329" s="320"/>
      <c r="U329" s="320"/>
      <c r="V329" s="320"/>
      <c r="W329" s="314"/>
      <c r="X329" s="321"/>
      <c r="Y329" s="10"/>
      <c r="Z329" s="10"/>
      <c r="AA329" s="10"/>
      <c r="AB329" s="10"/>
      <c r="AC329" s="10"/>
      <c r="AD329" s="10"/>
      <c r="AE329" s="1"/>
      <c r="AF329" s="2"/>
      <c r="AG329" s="1"/>
      <c r="AH329" s="3"/>
      <c r="AL329" s="4"/>
    </row>
    <row r="330" customFormat="1" ht="18.75" spans="1:38">
      <c r="A330" s="5"/>
      <c r="B330" s="5"/>
      <c r="C330" s="9"/>
      <c r="D330" s="9"/>
      <c r="E330" s="9"/>
      <c r="F330" s="9"/>
      <c r="G330" s="9"/>
      <c r="H330" s="10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10"/>
      <c r="X330" s="9"/>
      <c r="Y330" s="10"/>
      <c r="Z330" s="10"/>
      <c r="AA330" s="10"/>
      <c r="AB330" s="10"/>
      <c r="AC330" s="10"/>
      <c r="AD330" s="10"/>
      <c r="AE330" s="1"/>
      <c r="AF330" s="2"/>
      <c r="AG330" s="1"/>
      <c r="AH330" s="3"/>
      <c r="AL330" s="4"/>
    </row>
    <row r="331" customFormat="1" ht="18.75" spans="1:38">
      <c r="A331" s="5"/>
      <c r="B331" s="5"/>
      <c r="C331" s="251"/>
      <c r="D331" s="389"/>
      <c r="E331" s="389"/>
      <c r="F331" s="254"/>
      <c r="G331" s="254"/>
      <c r="H331" s="318"/>
      <c r="I331" s="254"/>
      <c r="J331" s="254"/>
      <c r="K331" s="254"/>
      <c r="L331" s="254"/>
      <c r="M331" s="390"/>
      <c r="N331" s="254"/>
      <c r="O331" s="254"/>
      <c r="P331" s="254"/>
      <c r="Q331" s="254"/>
      <c r="R331" s="254"/>
      <c r="S331" s="254"/>
      <c r="T331" s="254"/>
      <c r="U331" s="254"/>
      <c r="V331" s="254"/>
      <c r="W331" s="318"/>
      <c r="X331" s="254"/>
      <c r="Y331" s="318"/>
      <c r="Z331" s="318"/>
      <c r="AA331" s="318"/>
      <c r="AB331" s="318"/>
      <c r="AC331" s="10"/>
      <c r="AD331" s="10"/>
      <c r="AE331" s="1"/>
      <c r="AF331" s="2"/>
      <c r="AG331" s="1"/>
      <c r="AH331" s="3"/>
      <c r="AL331" s="4"/>
    </row>
    <row r="332" customFormat="1" spans="1:38">
      <c r="A332" s="5"/>
      <c r="B332" s="5"/>
      <c r="C332" s="391"/>
      <c r="D332" s="392"/>
      <c r="E332" s="392"/>
      <c r="F332" s="393"/>
      <c r="G332" s="394"/>
      <c r="H332" s="395"/>
      <c r="I332" s="394"/>
      <c r="J332" s="394"/>
      <c r="K332" s="394"/>
      <c r="L332" s="394"/>
      <c r="M332" s="393"/>
      <c r="N332" s="396"/>
      <c r="O332" s="397"/>
      <c r="P332" s="397"/>
      <c r="Q332" s="397"/>
      <c r="R332" s="397"/>
      <c r="S332" s="397"/>
      <c r="T332" s="397"/>
      <c r="U332" s="397"/>
      <c r="V332" s="397"/>
      <c r="W332" s="398"/>
      <c r="X332" s="393"/>
      <c r="Y332" s="398"/>
      <c r="Z332" s="398"/>
      <c r="AA332" s="398"/>
      <c r="AB332" s="398"/>
      <c r="AC332" s="10"/>
      <c r="AD332" s="10"/>
      <c r="AE332" s="1"/>
      <c r="AF332" s="2"/>
      <c r="AG332" s="1"/>
      <c r="AH332" s="3"/>
      <c r="AL332" s="4"/>
    </row>
    <row r="333" customFormat="1" spans="1:38">
      <c r="A333" s="5"/>
      <c r="B333" s="5"/>
      <c r="C333" s="399"/>
      <c r="D333" s="400"/>
      <c r="E333" s="400"/>
      <c r="F333" s="300"/>
      <c r="G333" s="325"/>
      <c r="H333" s="328"/>
      <c r="I333" s="325"/>
      <c r="J333" s="325"/>
      <c r="K333" s="325"/>
      <c r="L333" s="325"/>
      <c r="M333" s="297"/>
      <c r="N333" s="325"/>
      <c r="O333" s="297"/>
      <c r="P333" s="297"/>
      <c r="Q333" s="297"/>
      <c r="R333" s="297"/>
      <c r="S333" s="297"/>
      <c r="T333" s="297"/>
      <c r="U333" s="297"/>
      <c r="V333" s="297"/>
      <c r="W333" s="10"/>
      <c r="X333" s="297"/>
      <c r="Y333" s="10"/>
      <c r="Z333" s="10"/>
      <c r="AA333" s="10"/>
      <c r="AB333" s="10"/>
      <c r="AC333" s="10"/>
      <c r="AD333" s="10"/>
      <c r="AE333" s="1"/>
      <c r="AF333" s="2"/>
      <c r="AG333" s="1"/>
      <c r="AH333" s="3"/>
      <c r="AL333" s="4"/>
    </row>
    <row r="334" customFormat="1" spans="1:38">
      <c r="A334" s="5"/>
      <c r="B334" s="5"/>
      <c r="C334" s="266"/>
      <c r="D334" s="401"/>
      <c r="E334" s="401"/>
      <c r="F334" s="297"/>
      <c r="G334" s="325"/>
      <c r="H334" s="328"/>
      <c r="I334" s="402"/>
      <c r="J334" s="403"/>
      <c r="K334" s="325"/>
      <c r="L334" s="325"/>
      <c r="M334" s="297"/>
      <c r="N334" s="325"/>
      <c r="O334" s="297"/>
      <c r="P334" s="297"/>
      <c r="Q334" s="297"/>
      <c r="R334" s="297"/>
      <c r="S334" s="297"/>
      <c r="T334" s="297"/>
      <c r="U334" s="297"/>
      <c r="V334" s="297"/>
      <c r="W334" s="10"/>
      <c r="X334" s="297"/>
      <c r="Y334" s="10"/>
      <c r="Z334" s="10"/>
      <c r="AA334" s="10"/>
      <c r="AB334" s="10"/>
      <c r="AC334" s="10"/>
      <c r="AD334" s="10"/>
      <c r="AE334" s="1"/>
      <c r="AF334" s="2"/>
      <c r="AG334" s="1"/>
      <c r="AH334" s="3"/>
      <c r="AL334" s="4"/>
    </row>
    <row r="335" customFormat="1" ht="18.75" spans="1:38">
      <c r="A335" s="5"/>
      <c r="B335" s="5"/>
      <c r="C335" s="404"/>
      <c r="D335" s="405"/>
      <c r="E335" s="405"/>
      <c r="F335" s="406"/>
      <c r="G335" s="407"/>
      <c r="H335" s="408"/>
      <c r="I335" s="352"/>
      <c r="J335" s="352"/>
      <c r="K335" s="352"/>
      <c r="L335" s="409"/>
      <c r="M335" s="281"/>
      <c r="N335" s="352"/>
      <c r="O335" s="352"/>
      <c r="P335" s="352"/>
      <c r="Q335" s="320"/>
      <c r="R335" s="320"/>
      <c r="S335" s="320"/>
      <c r="T335" s="320"/>
      <c r="U335" s="320"/>
      <c r="V335" s="320"/>
      <c r="W335" s="314"/>
      <c r="X335" s="281"/>
      <c r="Y335" s="314"/>
      <c r="Z335" s="314"/>
      <c r="AA335" s="314"/>
      <c r="AB335" s="410"/>
      <c r="AC335" s="10"/>
      <c r="AD335" s="10"/>
      <c r="AE335" s="1"/>
      <c r="AF335" s="2"/>
      <c r="AG335" s="1"/>
      <c r="AH335" s="3"/>
      <c r="AL335" s="4"/>
    </row>
    <row r="336" customFormat="1" spans="1:38">
      <c r="A336" s="5"/>
      <c r="B336" s="5"/>
      <c r="C336" s="249"/>
      <c r="D336" s="249"/>
      <c r="E336" s="249"/>
      <c r="F336" s="249"/>
      <c r="G336" s="9"/>
      <c r="H336" s="10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10"/>
      <c r="X336" s="9"/>
      <c r="Y336" s="10"/>
      <c r="Z336" s="10"/>
      <c r="AA336" s="10"/>
      <c r="AB336" s="10"/>
      <c r="AC336" s="10"/>
      <c r="AD336" s="10"/>
      <c r="AE336" s="1"/>
      <c r="AF336" s="2"/>
      <c r="AG336" s="1"/>
      <c r="AH336" s="3"/>
      <c r="AL336" s="4"/>
    </row>
    <row r="337" customFormat="1" spans="1:38">
      <c r="A337" s="5"/>
      <c r="B337" s="5"/>
      <c r="C337" s="9"/>
      <c r="D337" s="9"/>
      <c r="E337" s="9"/>
      <c r="F337" s="9"/>
      <c r="G337" s="9"/>
      <c r="H337" s="10"/>
      <c r="I337" s="9"/>
      <c r="J337" s="9"/>
      <c r="K337" s="9"/>
      <c r="L337" s="9"/>
      <c r="M337" s="249"/>
      <c r="N337" s="249"/>
      <c r="O337" s="249"/>
      <c r="P337" s="249"/>
      <c r="Q337" s="249"/>
      <c r="R337" s="249"/>
      <c r="S337" s="249"/>
      <c r="T337" s="249"/>
      <c r="U337" s="249"/>
      <c r="V337" s="249"/>
      <c r="W337" s="8"/>
      <c r="X337" s="249"/>
      <c r="Y337" s="8"/>
      <c r="Z337" s="8"/>
      <c r="AA337" s="8"/>
      <c r="AB337" s="8"/>
      <c r="AC337" s="8"/>
      <c r="AD337" s="8"/>
      <c r="AE337" s="1"/>
      <c r="AF337" s="2"/>
      <c r="AG337" s="1"/>
      <c r="AH337" s="3"/>
      <c r="AL337" s="4"/>
    </row>
    <row r="338" customFormat="1" spans="1:38">
      <c r="A338" s="5"/>
      <c r="B338" s="5"/>
      <c r="C338" s="9"/>
      <c r="D338" s="9"/>
      <c r="E338" s="9"/>
      <c r="F338" s="9"/>
      <c r="G338" s="9"/>
      <c r="H338" s="10"/>
      <c r="I338" s="9"/>
      <c r="J338" s="9"/>
      <c r="K338" s="9"/>
      <c r="L338" s="9"/>
      <c r="M338" s="249"/>
      <c r="N338" s="249"/>
      <c r="O338" s="249"/>
      <c r="P338" s="249"/>
      <c r="Q338" s="249"/>
      <c r="R338" s="249"/>
      <c r="S338" s="249"/>
      <c r="T338" s="249"/>
      <c r="U338" s="249"/>
      <c r="V338" s="249"/>
      <c r="W338" s="8"/>
      <c r="X338" s="249"/>
      <c r="Y338" s="8"/>
      <c r="Z338" s="8"/>
      <c r="AA338" s="8"/>
      <c r="AB338" s="8"/>
      <c r="AC338" s="8"/>
      <c r="AD338" s="10"/>
      <c r="AE338" s="1"/>
      <c r="AF338" s="2"/>
      <c r="AG338" s="1"/>
      <c r="AH338" s="3"/>
      <c r="AL338" s="4"/>
    </row>
    <row r="339" customFormat="1" spans="1:38">
      <c r="A339" s="5"/>
      <c r="B339" s="5"/>
      <c r="C339" s="9"/>
      <c r="D339" s="9"/>
      <c r="E339" s="9"/>
      <c r="F339" s="9"/>
      <c r="G339" s="9"/>
      <c r="H339" s="10"/>
      <c r="I339" s="9"/>
      <c r="J339" s="9"/>
      <c r="K339" s="9"/>
      <c r="L339" s="9"/>
      <c r="M339" s="249"/>
      <c r="N339" s="249"/>
      <c r="O339" s="249"/>
      <c r="P339" s="249"/>
      <c r="Q339" s="249"/>
      <c r="R339" s="249"/>
      <c r="S339" s="249"/>
      <c r="T339" s="249"/>
      <c r="U339" s="249"/>
      <c r="V339" s="249"/>
      <c r="W339" s="8"/>
      <c r="X339" s="249"/>
      <c r="Y339" s="8"/>
      <c r="Z339" s="8"/>
      <c r="AA339" s="8"/>
      <c r="AB339" s="8"/>
      <c r="AC339" s="8"/>
      <c r="AD339" s="10"/>
      <c r="AE339" s="1"/>
      <c r="AF339" s="2"/>
      <c r="AG339" s="1"/>
      <c r="AH339" s="3"/>
      <c r="AL339" s="4"/>
    </row>
    <row r="340" customFormat="1" spans="1:38">
      <c r="A340" s="5"/>
      <c r="B340" s="5"/>
      <c r="C340" s="9"/>
      <c r="D340" s="9"/>
      <c r="E340" s="9"/>
      <c r="F340" s="9"/>
      <c r="G340" s="9"/>
      <c r="H340" s="10"/>
      <c r="I340" s="9"/>
      <c r="J340" s="9"/>
      <c r="K340" s="9"/>
      <c r="L340" s="9"/>
      <c r="M340" s="249"/>
      <c r="N340" s="249"/>
      <c r="O340" s="249"/>
      <c r="P340" s="249"/>
      <c r="Q340" s="249"/>
      <c r="R340" s="249"/>
      <c r="S340" s="249"/>
      <c r="T340" s="249"/>
      <c r="U340" s="249"/>
      <c r="V340" s="249"/>
      <c r="W340" s="8"/>
      <c r="X340" s="249"/>
      <c r="Y340" s="8"/>
      <c r="Z340" s="8"/>
      <c r="AA340" s="8"/>
      <c r="AB340" s="8"/>
      <c r="AC340" s="8"/>
      <c r="AD340" s="10"/>
      <c r="AE340" s="1"/>
      <c r="AF340" s="2"/>
      <c r="AG340" s="1"/>
      <c r="AH340" s="3"/>
      <c r="AL340" s="4"/>
    </row>
    <row r="341" customFormat="1" spans="1:38">
      <c r="A341" s="5"/>
      <c r="B341" s="5"/>
      <c r="C341" s="9"/>
      <c r="D341" s="9"/>
      <c r="E341" s="9"/>
      <c r="F341" s="9"/>
      <c r="G341" s="9"/>
      <c r="H341" s="10"/>
      <c r="I341" s="9"/>
      <c r="J341" s="9"/>
      <c r="K341" s="9"/>
      <c r="L341" s="9"/>
      <c r="M341" s="249"/>
      <c r="N341" s="249"/>
      <c r="O341" s="249"/>
      <c r="P341" s="249"/>
      <c r="Q341" s="249"/>
      <c r="R341" s="249"/>
      <c r="S341" s="249"/>
      <c r="T341" s="249"/>
      <c r="U341" s="249"/>
      <c r="V341" s="249"/>
      <c r="W341" s="8"/>
      <c r="X341" s="249"/>
      <c r="Y341" s="8"/>
      <c r="Z341" s="8"/>
      <c r="AA341" s="8"/>
      <c r="AB341" s="8"/>
      <c r="AC341" s="8"/>
      <c r="AD341" s="10"/>
      <c r="AE341" s="1"/>
      <c r="AF341" s="2"/>
      <c r="AG341" s="1"/>
      <c r="AH341" s="3"/>
      <c r="AL341" s="4"/>
    </row>
    <row r="342" customFormat="1" spans="1:38">
      <c r="A342" s="5"/>
      <c r="B342" s="5"/>
      <c r="C342" s="9"/>
      <c r="D342" s="9"/>
      <c r="E342" s="9"/>
      <c r="F342" s="9"/>
      <c r="G342" s="9"/>
      <c r="H342" s="10"/>
      <c r="I342" s="9"/>
      <c r="J342" s="9"/>
      <c r="K342" s="9"/>
      <c r="L342" s="9"/>
      <c r="M342" s="249"/>
      <c r="N342" s="249"/>
      <c r="O342" s="249"/>
      <c r="P342" s="249"/>
      <c r="Q342" s="249"/>
      <c r="R342" s="249"/>
      <c r="S342" s="249"/>
      <c r="T342" s="249"/>
      <c r="U342" s="249"/>
      <c r="V342" s="249"/>
      <c r="W342" s="8"/>
      <c r="X342" s="249"/>
      <c r="Y342" s="8"/>
      <c r="Z342" s="8"/>
      <c r="AA342" s="8"/>
      <c r="AB342" s="8"/>
      <c r="AC342" s="8"/>
      <c r="AD342" s="10"/>
      <c r="AE342" s="1"/>
      <c r="AF342" s="2"/>
      <c r="AG342" s="1"/>
      <c r="AH342" s="3"/>
      <c r="AL342" s="4"/>
    </row>
    <row r="343" customFormat="1" ht="18.75" spans="1:38">
      <c r="A343" s="5"/>
      <c r="B343" s="5"/>
      <c r="C343" s="9"/>
      <c r="D343" s="9"/>
      <c r="E343" s="9"/>
      <c r="F343" s="9"/>
      <c r="G343" s="9"/>
      <c r="H343" s="10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10"/>
      <c r="X343" s="9"/>
      <c r="Y343" s="10"/>
      <c r="Z343" s="10"/>
      <c r="AA343" s="10"/>
      <c r="AB343" s="10"/>
      <c r="AC343" s="10"/>
      <c r="AD343" s="10"/>
      <c r="AE343" s="1"/>
      <c r="AF343" s="2"/>
      <c r="AG343" s="1"/>
      <c r="AH343" s="3"/>
      <c r="AL343" s="4"/>
    </row>
    <row r="344" customFormat="1" spans="1:38">
      <c r="A344" s="5"/>
      <c r="B344" s="5"/>
      <c r="C344" s="411" t="s">
        <v>161</v>
      </c>
      <c r="D344" s="412"/>
      <c r="E344" s="412"/>
      <c r="F344" s="413"/>
      <c r="G344" s="9"/>
      <c r="H344" s="10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10"/>
      <c r="X344" s="9"/>
      <c r="Y344" s="10"/>
      <c r="Z344" s="10"/>
      <c r="AA344" s="10"/>
      <c r="AB344" s="10"/>
      <c r="AC344" s="10"/>
      <c r="AD344" s="10"/>
      <c r="AE344" s="1"/>
      <c r="AF344" s="2"/>
      <c r="AG344" s="1"/>
      <c r="AH344" s="3"/>
      <c r="AL344" s="4"/>
    </row>
    <row r="345" customFormat="1" spans="1:38">
      <c r="A345" s="5"/>
      <c r="B345" s="5"/>
      <c r="C345" s="414">
        <f>IF($H$252&lt;16,0.2,IF($H$252&lt;20,0.3,IF($H$252&lt;26,0.4,IF($H$252&lt;31.5,0.5,IF($H$252&lt;50,0.6,IF($H$252&lt;80,0.8,IF($H$252&lt;140,1,IF($H$252&lt;250,1.6,2))))))))</f>
        <v>0.3</v>
      </c>
      <c r="D345" s="415"/>
      <c r="E345" s="415"/>
      <c r="F345" s="416"/>
      <c r="G345" s="9"/>
      <c r="H345" s="10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10"/>
      <c r="X345" s="9"/>
      <c r="Y345" s="10"/>
      <c r="Z345" s="10"/>
      <c r="AA345" s="10"/>
      <c r="AB345" s="10"/>
      <c r="AC345" s="10"/>
      <c r="AD345" s="10"/>
      <c r="AE345" s="1"/>
      <c r="AF345" s="2"/>
      <c r="AG345" s="1"/>
      <c r="AH345" s="3"/>
      <c r="AL345" s="4"/>
    </row>
    <row r="346" customFormat="1" ht="18.75" spans="1:38">
      <c r="A346" s="5"/>
      <c r="B346" s="5"/>
      <c r="C346" s="417">
        <f>IF($H$251&lt;16,0.2,IF($H$251&lt;20,0.3,IF($H$251&lt;26,0.4,IF($H$251&lt;31.5,0.5,IF($H$251&lt;50,0.6,IF($H$251&lt;80,0.8,IF($H$251&lt;140,1,IF($H$251&lt;250,1.6,2))))))))</f>
        <v>0.5</v>
      </c>
      <c r="D346" s="418"/>
      <c r="E346" s="418"/>
      <c r="F346" s="419"/>
      <c r="G346" s="9"/>
      <c r="H346" s="10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10"/>
      <c r="X346" s="9"/>
      <c r="Y346" s="10"/>
      <c r="Z346" s="10"/>
      <c r="AA346" s="10"/>
      <c r="AB346" s="10"/>
      <c r="AC346" s="10"/>
      <c r="AD346" s="10"/>
      <c r="AE346" s="1"/>
      <c r="AF346" s="2"/>
      <c r="AG346" s="1"/>
      <c r="AH346" s="3"/>
      <c r="AL346" s="4"/>
    </row>
    <row r="347" customFormat="1" spans="1:38">
      <c r="A347" s="5"/>
      <c r="B347" s="5"/>
      <c r="C347" s="420">
        <f>IF($H$255&lt;0.6,$H$255-0.06,IF($H$255&lt;1.25,$H$255-0.09,IF($H$255&lt;3.8,$H$255-0.12,IF($H$255&lt;6,$H$255-0.15,IF($H$255&lt;15,$H$255-0.1,IF($H$255&lt;25,$H$255-0.12,IF($H$255&lt;40,$H$255-0.15)))))))</f>
        <v>1.38</v>
      </c>
      <c r="D347" s="421"/>
      <c r="E347" s="421"/>
      <c r="F347" s="422"/>
      <c r="G347" s="423">
        <f>IF($H$255&lt;0.6,$H$255+0.02,IF($H$255&lt;1.25,$H$255+0.03,IF($H$255&lt;3.8,$H$255+0.04,IF($H$255&lt;6,$H$255+0.05,IF($H$255&lt;15,$H$255+0.1,IF($H$255&lt;25,$H$255+0.12,IF($H$255&lt;40,$H$255+0.15)))))))</f>
        <v>1.54</v>
      </c>
      <c r="H347" s="10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10"/>
      <c r="X347" s="9"/>
      <c r="Y347" s="10"/>
      <c r="Z347" s="10"/>
      <c r="AA347" s="10"/>
      <c r="AB347" s="10"/>
      <c r="AC347" s="10"/>
      <c r="AD347" s="10"/>
      <c r="AE347" s="1"/>
      <c r="AF347" s="2"/>
      <c r="AG347" s="1"/>
      <c r="AH347" s="3"/>
      <c r="AL347" s="4"/>
    </row>
    <row r="348" customFormat="1" spans="1:38">
      <c r="A348" s="5"/>
      <c r="B348" s="5"/>
      <c r="C348" s="424">
        <f>IF($H$255&lt;1.25,$H$256-0.05,IF($H$255&lt;2,$H$256-0.08,IF($H$255&lt;3,$H$256-0.1,IF($H$255&lt;6,$H$256-0.15,IF($H$255&lt;15,$H$256-0.3,IF($H$255&lt;25,$H$256-0.5,IF($H$255&lt;40,$H$256-1)))))))</f>
        <v>2.19</v>
      </c>
      <c r="D348" s="425"/>
      <c r="E348" s="425"/>
      <c r="F348" s="426"/>
      <c r="G348" s="427">
        <f>IF($H$255&lt;1.25,$H$256+0.1,IF($H$255&lt;2,$H$256+0.15,IF($H$255&lt;3,$H$256+0.2,IF($H$255&lt;6,$H$256+0.3,IF($H$255&lt;15,$H$256+0.3,IF($H$255&lt;25,$H$256+0.5,IF($H$255&lt;40,$H$256+1)))))))</f>
        <v>2.42</v>
      </c>
      <c r="H348" s="10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10"/>
      <c r="X348" s="9"/>
      <c r="Y348" s="10"/>
      <c r="Z348" s="10"/>
      <c r="AA348" s="10"/>
      <c r="AB348" s="10"/>
      <c r="AC348" s="10"/>
      <c r="AD348" s="10"/>
      <c r="AE348" s="1"/>
      <c r="AF348" s="2"/>
      <c r="AG348" s="1"/>
      <c r="AH348" s="3"/>
      <c r="AL348" s="4"/>
    </row>
    <row r="349" customFormat="1" ht="18.75" spans="1:38">
      <c r="A349" s="5"/>
      <c r="B349" s="5"/>
      <c r="C349" s="428" t="s">
        <v>162</v>
      </c>
      <c r="D349" s="429"/>
      <c r="E349" s="429"/>
      <c r="F349" s="430"/>
      <c r="G349" s="308"/>
      <c r="H349" s="10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8"/>
      <c r="X349" s="9"/>
      <c r="Y349" s="10"/>
      <c r="Z349" s="10"/>
      <c r="AA349" s="10"/>
      <c r="AB349" s="10"/>
      <c r="AC349" s="10"/>
      <c r="AD349" s="10"/>
      <c r="AE349" s="1"/>
      <c r="AF349" s="2"/>
      <c r="AG349" s="1"/>
      <c r="AH349" s="3"/>
      <c r="AL349" s="4"/>
    </row>
    <row r="350" customFormat="1" spans="1:38">
      <c r="A350" s="5"/>
      <c r="B350" s="5"/>
      <c r="C350" s="249"/>
      <c r="D350" s="249"/>
      <c r="E350" s="249"/>
      <c r="F350" s="249"/>
      <c r="G350" s="9"/>
      <c r="H350" s="10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8"/>
      <c r="X350" s="9"/>
      <c r="Y350" s="10"/>
      <c r="Z350" s="10"/>
      <c r="AA350" s="10"/>
      <c r="AB350" s="10"/>
      <c r="AC350" s="10"/>
      <c r="AD350" s="10"/>
      <c r="AE350" s="1"/>
      <c r="AF350" s="2"/>
      <c r="AG350" s="1"/>
      <c r="AH350" s="3"/>
      <c r="AL350" s="4"/>
    </row>
    <row r="351" customFormat="1" ht="32.4" customHeight="1" spans="1:38">
      <c r="A351" s="5"/>
      <c r="B351" s="5"/>
      <c r="C351" s="431" t="s">
        <v>163</v>
      </c>
      <c r="D351" s="431"/>
      <c r="E351" s="431"/>
      <c r="F351" s="431"/>
      <c r="G351" s="432">
        <f>H8</f>
        <v>17.3</v>
      </c>
      <c r="H351" s="433" t="s">
        <v>164</v>
      </c>
      <c r="I351" s="434">
        <f>$G$296/$H$301</f>
        <v>17.48</v>
      </c>
      <c r="J351" s="433" t="s">
        <v>9</v>
      </c>
      <c r="K351" s="435"/>
      <c r="L351" s="431" t="s">
        <v>165</v>
      </c>
      <c r="M351" s="432">
        <f>$G$297/$H$301</f>
        <v>27.79</v>
      </c>
      <c r="N351" s="431" t="s">
        <v>164</v>
      </c>
      <c r="O351" s="432">
        <f>$H$7</f>
        <v>28</v>
      </c>
      <c r="P351" s="431" t="s">
        <v>9</v>
      </c>
      <c r="Q351" s="431"/>
      <c r="R351" s="431"/>
      <c r="S351" s="431"/>
      <c r="T351" s="431"/>
      <c r="U351" s="431"/>
      <c r="V351" s="431"/>
      <c r="W351" s="431" t="s">
        <v>166</v>
      </c>
      <c r="X351" s="432">
        <f>($H$7-$H$8)/LN($H$7/$H$8)</f>
        <v>22.2223141265381</v>
      </c>
      <c r="Y351" s="433" t="str">
        <f>$H$303</f>
        <v> mm</v>
      </c>
      <c r="Z351" s="10"/>
      <c r="AA351" s="433" t="s">
        <v>167</v>
      </c>
      <c r="AB351" s="433"/>
      <c r="AC351" s="10"/>
      <c r="AD351" s="10"/>
      <c r="AE351" s="1"/>
      <c r="AF351" s="2"/>
      <c r="AG351" s="1"/>
      <c r="AH351" s="3"/>
      <c r="AL351" s="4"/>
    </row>
    <row r="352" customFormat="1" spans="1:38">
      <c r="A352" s="5"/>
      <c r="B352" s="5"/>
      <c r="C352" s="9"/>
      <c r="D352" s="9"/>
      <c r="E352" s="9"/>
      <c r="F352" s="9"/>
      <c r="G352" s="9"/>
      <c r="H352" s="10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8"/>
      <c r="X352" s="9"/>
      <c r="Y352" s="10"/>
      <c r="Z352" s="10"/>
      <c r="AA352" s="10"/>
      <c r="AB352" s="10"/>
      <c r="AC352" s="10"/>
      <c r="AD352" s="10"/>
      <c r="AE352" s="1"/>
      <c r="AF352" s="2"/>
      <c r="AG352" s="1"/>
      <c r="AH352" s="3"/>
      <c r="AL352" s="4"/>
    </row>
    <row r="353" customFormat="1" spans="1:38">
      <c r="A353" s="5"/>
      <c r="B353" s="5"/>
      <c r="C353" s="9"/>
      <c r="D353" s="9"/>
      <c r="E353" s="9"/>
      <c r="F353" s="9"/>
      <c r="G353" s="9"/>
      <c r="H353" s="10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8"/>
      <c r="X353" s="9"/>
      <c r="Y353" s="10"/>
      <c r="Z353" s="10"/>
      <c r="AA353" s="10"/>
      <c r="AB353" s="10"/>
      <c r="AC353" s="10"/>
      <c r="AD353" s="10"/>
      <c r="AE353" s="1"/>
      <c r="AF353" s="2"/>
      <c r="AG353" s="1"/>
      <c r="AH353" s="3"/>
      <c r="AL353" s="4"/>
    </row>
    <row r="354" customFormat="1" spans="1:38">
      <c r="A354" s="5"/>
      <c r="B354" s="5"/>
      <c r="C354" s="9"/>
      <c r="D354" s="9"/>
      <c r="E354" s="9"/>
      <c r="F354" s="9"/>
      <c r="G354" s="9"/>
      <c r="H354" s="10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8"/>
      <c r="X354" s="9"/>
      <c r="Y354" s="10"/>
      <c r="Z354" s="10"/>
      <c r="AA354" s="10"/>
      <c r="AB354" s="10"/>
      <c r="AC354" s="10"/>
      <c r="AD354" s="10"/>
      <c r="AE354" s="1"/>
      <c r="AF354" s="2"/>
      <c r="AG354" s="1"/>
      <c r="AH354" s="3"/>
      <c r="AL354" s="4"/>
    </row>
    <row r="355" customFormat="1" spans="1:38">
      <c r="A355" s="5"/>
      <c r="B355" s="5"/>
      <c r="C355" s="9"/>
      <c r="D355" s="9"/>
      <c r="E355" s="9"/>
      <c r="F355" s="9"/>
      <c r="G355" s="9"/>
      <c r="H355" s="10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8"/>
      <c r="X355" s="9"/>
      <c r="Y355" s="10"/>
      <c r="Z355" s="10"/>
      <c r="AA355" s="10"/>
      <c r="AB355" s="10"/>
      <c r="AC355" s="10"/>
      <c r="AD355" s="10"/>
      <c r="AE355" s="1"/>
      <c r="AF355" s="2"/>
      <c r="AG355" s="1"/>
      <c r="AH355" s="3"/>
      <c r="AL355" s="4"/>
    </row>
    <row r="356" customFormat="1" spans="1:38">
      <c r="A356" s="5"/>
      <c r="B356" s="5"/>
      <c r="C356" s="9"/>
      <c r="D356" s="9"/>
      <c r="E356" s="9"/>
      <c r="F356" s="9"/>
      <c r="G356" s="9"/>
      <c r="H356" s="10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8"/>
      <c r="X356" s="9"/>
      <c r="Y356" s="10"/>
      <c r="Z356" s="10"/>
      <c r="AA356" s="10"/>
      <c r="AB356" s="10"/>
      <c r="AC356" s="10"/>
      <c r="AD356" s="10"/>
      <c r="AE356" s="1"/>
      <c r="AF356" s="2"/>
      <c r="AG356" s="1"/>
      <c r="AH356" s="3"/>
      <c r="AL356" s="4"/>
    </row>
    <row r="357" customFormat="1" spans="1:38">
      <c r="A357" s="5"/>
      <c r="B357" s="5"/>
      <c r="C357" s="9"/>
      <c r="D357" s="9"/>
      <c r="E357" s="9"/>
      <c r="F357" s="9"/>
      <c r="G357" s="9"/>
      <c r="H357" s="10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8"/>
      <c r="X357" s="9"/>
      <c r="Y357" s="10"/>
      <c r="Z357" s="10"/>
      <c r="AA357" s="10"/>
      <c r="AB357" s="10"/>
      <c r="AC357" s="10"/>
      <c r="AD357" s="10"/>
      <c r="AE357" s="1"/>
      <c r="AF357" s="2"/>
      <c r="AG357" s="1"/>
      <c r="AH357" s="3"/>
      <c r="AL357" s="4"/>
    </row>
    <row r="358" customFormat="1" spans="1:38">
      <c r="A358" s="5"/>
      <c r="B358" s="5"/>
      <c r="C358" s="9"/>
      <c r="D358" s="9"/>
      <c r="E358" s="9"/>
      <c r="F358" s="9"/>
      <c r="G358" s="9"/>
      <c r="H358" s="10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8"/>
      <c r="X358" s="9"/>
      <c r="Y358" s="10"/>
      <c r="Z358" s="10"/>
      <c r="AA358" s="10"/>
      <c r="AB358" s="10"/>
      <c r="AC358" s="10"/>
      <c r="AD358" s="10"/>
      <c r="AE358" s="1"/>
      <c r="AF358" s="2"/>
      <c r="AG358" s="1"/>
      <c r="AH358" s="3"/>
      <c r="AL358" s="4"/>
    </row>
    <row r="359" customFormat="1" spans="1:38">
      <c r="A359" s="5"/>
      <c r="B359" s="5"/>
      <c r="C359" s="9"/>
      <c r="D359" s="9"/>
      <c r="E359" s="9"/>
      <c r="F359" s="9"/>
      <c r="G359" s="9"/>
      <c r="H359" s="10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8"/>
      <c r="X359" s="9"/>
      <c r="Y359" s="10"/>
      <c r="Z359" s="10"/>
      <c r="AA359" s="10"/>
      <c r="AB359" s="10"/>
      <c r="AC359" s="10"/>
      <c r="AD359" s="10"/>
      <c r="AE359" s="1"/>
      <c r="AF359" s="2"/>
      <c r="AG359" s="1"/>
      <c r="AH359" s="3"/>
      <c r="AL359" s="4"/>
    </row>
    <row r="360" customFormat="1" spans="1:38">
      <c r="A360" s="5"/>
      <c r="B360" s="5"/>
      <c r="C360" s="9"/>
      <c r="D360" s="9"/>
      <c r="E360" s="9"/>
      <c r="F360" s="9"/>
      <c r="G360" s="9"/>
      <c r="H360" s="10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8"/>
      <c r="X360" s="9"/>
      <c r="Y360" s="10"/>
      <c r="Z360" s="10"/>
      <c r="AA360" s="10"/>
      <c r="AB360" s="10"/>
      <c r="AC360" s="10"/>
      <c r="AD360" s="10"/>
      <c r="AE360" s="1"/>
      <c r="AF360" s="2"/>
      <c r="AG360" s="1"/>
      <c r="AH360" s="3"/>
      <c r="AL360" s="4"/>
    </row>
    <row r="361" customFormat="1" spans="1:38">
      <c r="A361" s="5"/>
      <c r="B361" s="5"/>
      <c r="C361" s="9"/>
      <c r="D361" s="9"/>
      <c r="E361" s="9"/>
      <c r="F361" s="9"/>
      <c r="G361" s="9"/>
      <c r="H361" s="10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8"/>
      <c r="X361" s="9"/>
      <c r="Y361" s="10"/>
      <c r="Z361" s="10"/>
      <c r="AA361" s="10"/>
      <c r="AB361" s="10"/>
      <c r="AC361" s="10"/>
      <c r="AD361" s="10"/>
      <c r="AE361" s="1"/>
      <c r="AF361" s="2"/>
      <c r="AG361" s="1"/>
      <c r="AH361" s="3"/>
      <c r="AL361" s="4"/>
    </row>
    <row r="362" customFormat="1" spans="1:38">
      <c r="A362" s="5"/>
      <c r="B362" s="5"/>
      <c r="C362" s="9"/>
      <c r="D362" s="9"/>
      <c r="E362" s="9"/>
      <c r="F362" s="9"/>
      <c r="G362" s="9"/>
      <c r="H362" s="10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8"/>
      <c r="X362" s="9"/>
      <c r="Y362" s="10"/>
      <c r="Z362" s="10"/>
      <c r="AA362" s="10"/>
      <c r="AB362" s="10"/>
      <c r="AC362" s="10"/>
      <c r="AD362" s="10"/>
      <c r="AE362" s="1"/>
      <c r="AF362" s="2"/>
      <c r="AG362" s="1"/>
      <c r="AH362" s="3"/>
      <c r="AL362" s="4"/>
    </row>
    <row r="363" customFormat="1" spans="1:38">
      <c r="A363" s="5"/>
      <c r="B363" s="5"/>
      <c r="C363" s="9"/>
      <c r="D363" s="9"/>
      <c r="E363" s="9"/>
      <c r="F363" s="9"/>
      <c r="G363" s="9"/>
      <c r="H363" s="10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8"/>
      <c r="X363" s="9"/>
      <c r="Y363" s="10"/>
      <c r="Z363" s="10"/>
      <c r="AA363" s="10"/>
      <c r="AB363" s="10"/>
      <c r="AC363" s="10"/>
      <c r="AD363" s="10"/>
      <c r="AE363" s="1"/>
      <c r="AF363" s="2"/>
      <c r="AG363" s="1"/>
      <c r="AH363" s="3"/>
      <c r="AL363" s="4"/>
    </row>
    <row r="364" customFormat="1" spans="1:38">
      <c r="A364" s="5"/>
      <c r="B364" s="5"/>
      <c r="C364" s="9"/>
      <c r="D364" s="9"/>
      <c r="E364" s="9"/>
      <c r="F364" s="9"/>
      <c r="G364" s="9"/>
      <c r="H364" s="10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8"/>
      <c r="X364" s="9"/>
      <c r="Y364" s="10"/>
      <c r="Z364" s="10"/>
      <c r="AA364" s="10"/>
      <c r="AB364" s="10"/>
      <c r="AC364" s="10"/>
      <c r="AD364" s="10"/>
      <c r="AE364" s="1"/>
      <c r="AF364" s="2"/>
      <c r="AG364" s="1"/>
      <c r="AH364" s="3"/>
      <c r="AL364" s="4"/>
    </row>
    <row r="365" customFormat="1" spans="1:38">
      <c r="A365" s="5"/>
      <c r="B365" s="5"/>
      <c r="C365" s="9"/>
      <c r="D365" s="9"/>
      <c r="E365" s="9"/>
      <c r="F365" s="9"/>
      <c r="G365" s="9"/>
      <c r="H365" s="10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8"/>
      <c r="X365" s="9"/>
      <c r="Y365" s="10"/>
      <c r="Z365" s="10"/>
      <c r="AA365" s="10"/>
      <c r="AB365" s="10"/>
      <c r="AC365" s="10"/>
      <c r="AD365" s="10"/>
      <c r="AE365" s="1"/>
      <c r="AF365" s="2"/>
      <c r="AG365" s="1"/>
      <c r="AH365" s="3"/>
      <c r="AL365" s="4"/>
    </row>
    <row r="366" customFormat="1" spans="1:38">
      <c r="A366" s="5"/>
      <c r="B366" s="5"/>
      <c r="C366" s="9"/>
      <c r="D366" s="9"/>
      <c r="E366" s="9"/>
      <c r="F366" s="9"/>
      <c r="G366" s="9"/>
      <c r="H366" s="10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8"/>
      <c r="X366" s="9"/>
      <c r="Y366" s="10"/>
      <c r="Z366" s="10"/>
      <c r="AA366" s="10"/>
      <c r="AB366" s="10"/>
      <c r="AC366" s="10"/>
      <c r="AD366" s="10"/>
      <c r="AE366" s="1"/>
      <c r="AF366" s="2"/>
      <c r="AG366" s="1"/>
      <c r="AH366" s="3"/>
      <c r="AL366" s="4"/>
    </row>
    <row r="367" customFormat="1" spans="1:38">
      <c r="A367" s="5"/>
      <c r="B367" s="5"/>
      <c r="C367" s="9"/>
      <c r="D367" s="9"/>
      <c r="E367" s="9"/>
      <c r="F367" s="9"/>
      <c r="G367" s="9"/>
      <c r="H367" s="10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8"/>
      <c r="X367" s="9"/>
      <c r="Y367" s="10"/>
      <c r="Z367" s="10"/>
      <c r="AA367" s="10"/>
      <c r="AB367" s="10"/>
      <c r="AC367" s="10"/>
      <c r="AD367" s="10"/>
      <c r="AE367" s="1"/>
      <c r="AF367" s="2"/>
      <c r="AG367" s="1"/>
      <c r="AH367" s="3"/>
      <c r="AL367" s="4"/>
    </row>
    <row r="368" customFormat="1" spans="1:38">
      <c r="A368" s="5"/>
      <c r="B368" s="5"/>
      <c r="C368" s="9"/>
      <c r="D368" s="9"/>
      <c r="E368" s="9"/>
      <c r="F368" s="9"/>
      <c r="G368" s="9"/>
      <c r="H368" s="10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8"/>
      <c r="X368" s="9"/>
      <c r="Y368" s="10"/>
      <c r="Z368" s="10"/>
      <c r="AA368" s="10"/>
      <c r="AB368" s="10"/>
      <c r="AC368" s="10"/>
      <c r="AD368" s="10"/>
      <c r="AE368" s="1"/>
      <c r="AF368" s="2"/>
      <c r="AG368" s="1"/>
      <c r="AH368" s="3"/>
      <c r="AL368" s="4"/>
    </row>
    <row r="369" customFormat="1" spans="1:38">
      <c r="A369" s="5"/>
      <c r="B369" s="5"/>
      <c r="C369" s="9"/>
      <c r="D369" s="9"/>
      <c r="E369" s="9"/>
      <c r="F369" s="9"/>
      <c r="G369" s="9"/>
      <c r="H369" s="10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8"/>
      <c r="X369" s="9"/>
      <c r="Y369" s="10"/>
      <c r="Z369" s="10"/>
      <c r="AA369" s="10"/>
      <c r="AB369" s="10"/>
      <c r="AC369" s="10"/>
      <c r="AD369" s="10"/>
      <c r="AE369" s="1"/>
      <c r="AF369" s="2"/>
      <c r="AG369" s="1"/>
      <c r="AH369" s="3"/>
      <c r="AL369" s="4"/>
    </row>
    <row r="370" customFormat="1" spans="1:38">
      <c r="A370" s="5"/>
      <c r="B370" s="5"/>
      <c r="C370" s="9"/>
      <c r="D370" s="9"/>
      <c r="E370" s="9"/>
      <c r="F370" s="9"/>
      <c r="G370" s="9"/>
      <c r="H370" s="10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8"/>
      <c r="X370" s="9"/>
      <c r="Y370" s="10"/>
      <c r="Z370" s="10"/>
      <c r="AA370" s="10"/>
      <c r="AB370" s="10"/>
      <c r="AC370" s="10"/>
      <c r="AD370" s="10"/>
      <c r="AE370" s="1"/>
      <c r="AF370" s="2"/>
      <c r="AG370" s="1"/>
      <c r="AH370" s="3"/>
      <c r="AL370" s="4"/>
    </row>
    <row r="371" customFormat="1" spans="1:38">
      <c r="A371" s="5"/>
      <c r="B371" s="5"/>
      <c r="C371" s="9"/>
      <c r="D371" s="9"/>
      <c r="E371" s="9"/>
      <c r="F371" s="9"/>
      <c r="G371" s="9"/>
      <c r="H371" s="10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8"/>
      <c r="X371" s="9"/>
      <c r="Y371" s="10"/>
      <c r="Z371" s="10"/>
      <c r="AA371" s="10"/>
      <c r="AB371" s="10"/>
      <c r="AC371" s="10"/>
      <c r="AD371" s="10"/>
      <c r="AE371" s="1"/>
      <c r="AF371" s="2"/>
      <c r="AG371" s="1"/>
      <c r="AH371" s="3"/>
      <c r="AL371" s="4"/>
    </row>
    <row r="372" customFormat="1" spans="1:38">
      <c r="A372" s="5"/>
      <c r="B372" s="5"/>
      <c r="C372" s="9"/>
      <c r="D372" s="9"/>
      <c r="E372" s="9"/>
      <c r="F372" s="9"/>
      <c r="G372" s="9"/>
      <c r="H372" s="10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8"/>
      <c r="X372" s="9"/>
      <c r="Y372" s="10"/>
      <c r="Z372" s="10"/>
      <c r="AA372" s="10"/>
      <c r="AB372" s="10"/>
      <c r="AC372" s="10"/>
      <c r="AD372" s="10"/>
      <c r="AE372" s="1"/>
      <c r="AF372" s="2"/>
      <c r="AG372" s="1"/>
      <c r="AH372" s="3"/>
      <c r="AL372" s="4"/>
    </row>
    <row r="373" customFormat="1" spans="1:38">
      <c r="A373" s="5"/>
      <c r="B373" s="5"/>
      <c r="C373" s="9"/>
      <c r="D373" s="9"/>
      <c r="E373" s="9"/>
      <c r="F373" s="9"/>
      <c r="G373" s="9"/>
      <c r="H373" s="10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8"/>
      <c r="X373" s="9"/>
      <c r="Y373" s="10"/>
      <c r="Z373" s="10"/>
      <c r="AA373" s="10"/>
      <c r="AB373" s="10"/>
      <c r="AC373" s="10"/>
      <c r="AD373" s="10"/>
      <c r="AE373" s="1"/>
      <c r="AF373" s="2"/>
      <c r="AG373" s="1"/>
      <c r="AH373" s="3"/>
      <c r="AL373" s="4"/>
    </row>
    <row r="374" customFormat="1" spans="1:38">
      <c r="A374" s="5"/>
      <c r="B374" s="5"/>
      <c r="C374" s="9"/>
      <c r="D374" s="9"/>
      <c r="E374" s="9"/>
      <c r="F374" s="9"/>
      <c r="G374" s="9"/>
      <c r="H374" s="10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8"/>
      <c r="X374" s="9"/>
      <c r="Y374" s="10"/>
      <c r="Z374" s="10"/>
      <c r="AA374" s="10"/>
      <c r="AB374" s="10"/>
      <c r="AC374" s="10"/>
      <c r="AD374" s="10"/>
      <c r="AE374" s="1"/>
      <c r="AF374" s="2"/>
      <c r="AG374" s="1"/>
      <c r="AH374" s="3"/>
      <c r="AL374" s="4"/>
    </row>
    <row r="375" customFormat="1" spans="1:38">
      <c r="C375" s="9"/>
      <c r="D375" s="9"/>
      <c r="E375" s="9"/>
      <c r="F375" s="9"/>
      <c r="G375" s="9"/>
      <c r="H375" s="10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8"/>
      <c r="X375" s="9"/>
      <c r="Y375" s="10"/>
      <c r="Z375" s="10"/>
      <c r="AA375" s="10"/>
      <c r="AB375" s="10"/>
      <c r="AC375" s="10"/>
      <c r="AD375" s="10"/>
      <c r="AE375" s="1"/>
      <c r="AF375" s="2"/>
      <c r="AG375" s="1"/>
      <c r="AH375" s="3"/>
      <c r="AL375" s="4"/>
    </row>
    <row r="376" customFormat="1" spans="1:38">
      <c r="C376" s="9"/>
      <c r="D376" s="9"/>
      <c r="E376" s="9"/>
      <c r="F376" s="9"/>
      <c r="G376" s="9"/>
      <c r="H376" s="10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8"/>
      <c r="X376" s="9"/>
      <c r="Y376" s="10"/>
      <c r="Z376" s="10"/>
      <c r="AA376" s="10"/>
      <c r="AB376" s="10"/>
      <c r="AC376" s="10"/>
      <c r="AD376" s="10"/>
      <c r="AE376" s="1"/>
      <c r="AF376" s="2"/>
      <c r="AG376" s="1"/>
      <c r="AH376" s="3"/>
      <c r="AL376" s="4"/>
    </row>
    <row r="377" customFormat="1" spans="1:38">
      <c r="C377" s="9"/>
      <c r="D377" s="9"/>
      <c r="E377" s="9"/>
      <c r="F377" s="9"/>
      <c r="G377" s="9"/>
      <c r="H377" s="10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8"/>
      <c r="X377" s="9"/>
      <c r="Y377" s="10"/>
      <c r="Z377" s="10"/>
      <c r="AA377" s="10"/>
      <c r="AB377" s="10"/>
      <c r="AC377" s="10"/>
      <c r="AD377" s="10"/>
      <c r="AE377" s="1"/>
      <c r="AF377" s="2"/>
      <c r="AG377" s="1"/>
      <c r="AH377" s="3"/>
      <c r="AL377" s="4"/>
    </row>
    <row r="378" customFormat="1" spans="1:38">
      <c r="C378" s="9"/>
      <c r="D378" s="9"/>
      <c r="E378" s="9"/>
      <c r="F378" s="9"/>
      <c r="G378" s="9"/>
      <c r="H378" s="10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8"/>
      <c r="X378" s="9"/>
      <c r="Y378" s="10"/>
      <c r="Z378" s="10"/>
      <c r="AA378" s="10"/>
      <c r="AB378" s="10"/>
      <c r="AC378" s="10"/>
      <c r="AD378" s="10"/>
      <c r="AE378" s="1"/>
      <c r="AF378" s="2"/>
      <c r="AG378" s="1"/>
      <c r="AH378" s="3"/>
      <c r="AL378" s="4"/>
    </row>
    <row r="379" customFormat="1" spans="1:38">
      <c r="C379" s="9"/>
      <c r="D379" s="9"/>
      <c r="E379" s="9"/>
      <c r="F379" s="9"/>
      <c r="G379" s="9"/>
      <c r="H379" s="10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8"/>
      <c r="X379" s="9"/>
      <c r="Y379" s="10"/>
      <c r="Z379" s="10"/>
      <c r="AA379" s="10"/>
      <c r="AB379" s="10"/>
      <c r="AC379" s="10"/>
      <c r="AD379" s="10"/>
      <c r="AE379" s="1"/>
      <c r="AF379" s="2"/>
      <c r="AG379" s="1"/>
      <c r="AH379" s="3"/>
      <c r="AL379" s="4"/>
    </row>
    <row r="380" customFormat="1" spans="1:38">
      <c r="C380" s="9"/>
      <c r="D380" s="9"/>
      <c r="E380" s="9"/>
      <c r="F380" s="9"/>
      <c r="G380" s="9"/>
      <c r="H380" s="10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8"/>
      <c r="X380" s="9"/>
      <c r="Y380" s="10"/>
      <c r="Z380" s="10"/>
      <c r="AA380" s="10"/>
      <c r="AB380" s="10"/>
      <c r="AC380" s="10"/>
      <c r="AD380" s="10"/>
      <c r="AE380" s="1"/>
      <c r="AF380" s="2"/>
      <c r="AG380" s="1"/>
      <c r="AH380" s="3"/>
      <c r="AL380" s="4"/>
    </row>
    <row r="381" customFormat="1" spans="1:38">
      <c r="C381" s="9"/>
      <c r="D381" s="9"/>
      <c r="E381" s="9"/>
      <c r="F381" s="9"/>
      <c r="G381" s="9"/>
      <c r="H381" s="10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8"/>
      <c r="X381" s="9"/>
      <c r="Y381" s="10"/>
      <c r="Z381" s="10"/>
      <c r="AA381" s="10"/>
      <c r="AB381" s="10"/>
      <c r="AC381" s="10"/>
      <c r="AD381" s="10"/>
      <c r="AE381" s="1"/>
      <c r="AF381" s="2"/>
      <c r="AG381" s="1"/>
      <c r="AH381" s="3"/>
      <c r="AL381" s="4"/>
    </row>
    <row r="382" customFormat="1" spans="1:38">
      <c r="C382" s="9"/>
      <c r="D382" s="9"/>
      <c r="E382" s="9"/>
      <c r="F382" s="9"/>
      <c r="G382" s="9"/>
      <c r="H382" s="10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8"/>
      <c r="X382" s="9"/>
      <c r="Y382" s="10"/>
      <c r="Z382" s="10"/>
      <c r="AA382" s="10"/>
      <c r="AB382" s="10"/>
      <c r="AC382" s="10"/>
      <c r="AD382" s="10"/>
      <c r="AE382" s="1"/>
      <c r="AF382" s="2"/>
      <c r="AG382" s="1"/>
      <c r="AH382" s="3"/>
      <c r="AL382" s="4"/>
    </row>
    <row r="383" customFormat="1" spans="1:38">
      <c r="C383" s="9"/>
      <c r="D383" s="9"/>
      <c r="E383" s="9"/>
      <c r="F383" s="9"/>
      <c r="G383" s="9"/>
      <c r="H383" s="10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8"/>
      <c r="X383" s="9"/>
      <c r="Y383" s="10"/>
      <c r="Z383" s="10"/>
      <c r="AA383" s="10"/>
      <c r="AB383" s="10"/>
      <c r="AC383" s="10"/>
      <c r="AD383" s="10"/>
      <c r="AE383" s="1"/>
      <c r="AF383" s="2"/>
      <c r="AG383" s="1"/>
      <c r="AH383" s="3"/>
      <c r="AL383" s="4"/>
    </row>
    <row r="384" customFormat="1" spans="1:38">
      <c r="C384" s="9"/>
      <c r="D384" s="9"/>
      <c r="E384" s="9"/>
      <c r="F384" s="9"/>
      <c r="G384" s="9"/>
      <c r="H384" s="10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8"/>
      <c r="X384" s="9"/>
      <c r="Y384" s="10"/>
      <c r="Z384" s="10"/>
      <c r="AA384" s="10"/>
      <c r="AB384" s="10"/>
      <c r="AC384" s="10"/>
      <c r="AD384" s="10"/>
      <c r="AE384" s="1"/>
      <c r="AF384" s="2"/>
      <c r="AG384" s="1"/>
      <c r="AH384" s="3"/>
      <c r="AL384" s="4"/>
    </row>
  </sheetData>
  <mergeCells count="14">
    <mergeCell ref="B2:Q2"/>
    <mergeCell ref="H5:P5"/>
    <mergeCell ref="C25:I25"/>
    <mergeCell ref="K27:O27"/>
    <mergeCell ref="G38:P38"/>
    <mergeCell ref="C39:P39"/>
    <mergeCell ref="C40:P40"/>
    <mergeCell ref="C41:Q41"/>
    <mergeCell ref="N87:P87"/>
    <mergeCell ref="Q87:X87"/>
    <mergeCell ref="B3:B41"/>
    <mergeCell ref="J14:J27"/>
    <mergeCell ref="X6:X7"/>
    <mergeCell ref="H3:P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碟簧设计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SUNZO</dc:creator>
  <cp:lastModifiedBy>景</cp:lastModifiedBy>
  <dcterms:created xsi:type="dcterms:W3CDTF">2015-06-05T18:17:00Z</dcterms:created>
  <cp:lastPrinted>2020-01-09T02:36:00Z</cp:lastPrinted>
  <dcterms:modified xsi:type="dcterms:W3CDTF">2026-07-15T02:14:11Z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A8DCD56B1A9A452389F08B72CD2F0220</vt:lpwstr>
  </property>
  <property fmtid="{D5CDD505-2E9C-101B-9397-08002B2CF9AE}" pid="4" name="commondata">
    <vt:lpwstr>eyJoZGlkIjoiNzdkNDMxMTQ0ZjE4OWI5YjUzODU1NzNhMjQ1Zjk5MDkifQ==</vt:lpwstr>
  </property>
  <property fmtid="{D5CDD505-2E9C-101B-9397-08002B2CF9AE}" pid="5" name="CalculationRule">
    <vt:i4>0</vt:i4>
  </property>
</Properties>
</file>